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7795" windowHeight="6735"/>
  </bookViews>
  <sheets>
    <sheet name="Inventory template" sheetId="1" r:id="rId1"/>
  </sheets>
  <externalReferences>
    <externalReference r:id="rId2"/>
  </externalReferences>
  <definedNames>
    <definedName name="_xlnm._FilterDatabase" localSheetId="0" hidden="1">'Inventory template'!$A$2:$O$131</definedName>
  </definedNames>
  <calcPr calcId="125725"/>
</workbook>
</file>

<file path=xl/calcChain.xml><?xml version="1.0" encoding="utf-8"?>
<calcChain xmlns="http://schemas.openxmlformats.org/spreadsheetml/2006/main">
  <c r="H139" i="1"/>
  <c r="F139"/>
  <c r="F141" s="1"/>
  <c r="F131"/>
  <c r="F124"/>
  <c r="L123"/>
  <c r="F121"/>
  <c r="F120"/>
  <c r="F119"/>
  <c r="F118"/>
  <c r="E117"/>
  <c r="E123" s="1"/>
  <c r="B117"/>
  <c r="F115"/>
  <c r="F113"/>
  <c r="F116" s="1"/>
  <c r="F111"/>
  <c r="F110"/>
  <c r="F112" s="1"/>
  <c r="L107"/>
  <c r="F100"/>
  <c r="I100" s="1"/>
  <c r="F92"/>
  <c r="I92" s="1"/>
  <c r="I82"/>
  <c r="F82"/>
  <c r="F66"/>
  <c r="F117" s="1"/>
  <c r="F123" s="1"/>
  <c r="I120" s="1"/>
  <c r="J120" s="1"/>
  <c r="I26"/>
  <c r="P18"/>
  <c r="J9"/>
  <c r="K6"/>
  <c r="K108" s="1"/>
  <c r="J6"/>
  <c r="B6"/>
  <c r="M5"/>
  <c r="I5"/>
  <c r="M4"/>
  <c r="N4" s="1"/>
  <c r="I4"/>
  <c r="N3"/>
  <c r="O3" s="1"/>
  <c r="M3"/>
  <c r="I3"/>
  <c r="P3" s="1"/>
  <c r="F1"/>
  <c r="I1" s="1"/>
  <c r="E1"/>
  <c r="D1"/>
  <c r="B1"/>
  <c r="J108" l="1"/>
  <c r="M108" s="1"/>
  <c r="N108" s="1"/>
  <c r="H120"/>
  <c r="N5"/>
  <c r="O4"/>
  <c r="C1"/>
  <c r="M6"/>
  <c r="M7" s="1"/>
  <c r="M8" s="1"/>
  <c r="M9" s="1"/>
  <c r="M10" s="1"/>
  <c r="M11" s="1"/>
  <c r="M12" s="1"/>
  <c r="M13" s="1"/>
  <c r="M14" s="1"/>
  <c r="M15" s="1"/>
  <c r="M16" s="1"/>
  <c r="M17" s="1"/>
  <c r="M18" s="1"/>
  <c r="M19" s="1"/>
  <c r="M20" s="1"/>
  <c r="M21" s="1"/>
  <c r="M22" s="1"/>
  <c r="M23" s="1"/>
  <c r="M24" s="1"/>
  <c r="M25" s="1"/>
  <c r="M26" s="1"/>
  <c r="M27" s="1"/>
  <c r="M28" s="1"/>
  <c r="M29" s="1"/>
  <c r="M30" s="1"/>
  <c r="M31" s="1"/>
  <c r="M32" s="1"/>
  <c r="M33" s="1"/>
  <c r="M34" s="1"/>
  <c r="M35" s="1"/>
  <c r="M36" s="1"/>
  <c r="M37" s="1"/>
  <c r="M38" s="1"/>
  <c r="M39" s="1"/>
  <c r="M40" s="1"/>
  <c r="M41" s="1"/>
  <c r="M42" s="1"/>
  <c r="M43" s="1"/>
  <c r="M44" s="1"/>
  <c r="M45" s="1"/>
  <c r="M46" s="1"/>
  <c r="I66"/>
  <c r="N107"/>
  <c r="N6"/>
  <c r="R46" l="1"/>
  <c r="S46" s="1"/>
  <c r="M47"/>
  <c r="M48" s="1"/>
  <c r="M49" s="1"/>
  <c r="M50" s="1"/>
  <c r="M51" s="1"/>
  <c r="M52" s="1"/>
  <c r="M53" s="1"/>
  <c r="M54" s="1"/>
  <c r="M55" s="1"/>
  <c r="M56" s="1"/>
  <c r="M57" s="1"/>
  <c r="M58" s="1"/>
  <c r="M59" s="1"/>
  <c r="M60" s="1"/>
  <c r="M61" s="1"/>
  <c r="N7"/>
  <c r="O5"/>
  <c r="R60" l="1"/>
  <c r="S60" s="1"/>
  <c r="M62"/>
  <c r="M63" s="1"/>
  <c r="M64" s="1"/>
  <c r="M65" s="1"/>
  <c r="M66" s="1"/>
  <c r="M67" s="1"/>
  <c r="M68" s="1"/>
  <c r="M69" s="1"/>
  <c r="M70" s="1"/>
  <c r="M71" s="1"/>
  <c r="M72" s="1"/>
  <c r="M73" s="1"/>
  <c r="M74" s="1"/>
  <c r="M75" s="1"/>
  <c r="M76" s="1"/>
  <c r="M77" s="1"/>
  <c r="M78" s="1"/>
  <c r="M79" s="1"/>
  <c r="M80" s="1"/>
  <c r="M81" s="1"/>
  <c r="M82" s="1"/>
  <c r="M83" s="1"/>
  <c r="M84" s="1"/>
  <c r="M85" s="1"/>
  <c r="M86" s="1"/>
  <c r="M87" s="1"/>
  <c r="M88" s="1"/>
  <c r="M89" s="1"/>
  <c r="M90" s="1"/>
  <c r="M91" s="1"/>
  <c r="M92" s="1"/>
  <c r="M93" s="1"/>
  <c r="M94" s="1"/>
  <c r="M95" s="1"/>
  <c r="M96" s="1"/>
  <c r="M97" s="1"/>
  <c r="M98" s="1"/>
  <c r="M99" s="1"/>
  <c r="M100" s="1"/>
  <c r="M101" s="1"/>
  <c r="M102" s="1"/>
  <c r="M103" s="1"/>
  <c r="M104" s="1"/>
  <c r="M105" s="1"/>
  <c r="M106" s="1"/>
  <c r="N8"/>
  <c r="O7"/>
  <c r="M111" l="1"/>
  <c r="R110" s="1"/>
  <c r="S110" s="1"/>
  <c r="M109"/>
  <c r="M110" s="1"/>
  <c r="N9"/>
  <c r="O8"/>
  <c r="N10" l="1"/>
  <c r="O9"/>
  <c r="O10" l="1"/>
  <c r="N11"/>
  <c r="O11" l="1"/>
  <c r="N12"/>
  <c r="N13" l="1"/>
  <c r="O12"/>
  <c r="N14" l="1"/>
  <c r="O13"/>
  <c r="O14" l="1"/>
  <c r="N15"/>
  <c r="O15" l="1"/>
  <c r="N16"/>
  <c r="N17" l="1"/>
  <c r="O16"/>
  <c r="N18" l="1"/>
  <c r="O17"/>
  <c r="N19" l="1"/>
  <c r="O18"/>
  <c r="O19" l="1"/>
  <c r="N20"/>
  <c r="O20" l="1"/>
  <c r="N21"/>
  <c r="N22" l="1"/>
  <c r="O21"/>
  <c r="N23" l="1"/>
  <c r="O22"/>
  <c r="N24" l="1"/>
  <c r="O23"/>
  <c r="O24" l="1"/>
  <c r="N25"/>
  <c r="N26" l="1"/>
  <c r="O25"/>
  <c r="O26" l="1"/>
  <c r="N27"/>
  <c r="N28" l="1"/>
  <c r="O27"/>
  <c r="O28" l="1"/>
  <c r="N29"/>
  <c r="O29" l="1"/>
  <c r="N30"/>
  <c r="O30" l="1"/>
  <c r="N31"/>
  <c r="N32" l="1"/>
  <c r="O31"/>
  <c r="O32" l="1"/>
  <c r="N33"/>
  <c r="O33" l="1"/>
  <c r="N34"/>
  <c r="O34" l="1"/>
  <c r="N35"/>
  <c r="N36" l="1"/>
  <c r="O35"/>
  <c r="O36" l="1"/>
  <c r="N37"/>
  <c r="O37" l="1"/>
  <c r="N38"/>
  <c r="N39" l="1"/>
  <c r="O38"/>
  <c r="N40" l="1"/>
  <c r="O39"/>
  <c r="N41" l="1"/>
  <c r="O40"/>
  <c r="O41" l="1"/>
  <c r="N42"/>
  <c r="O42" l="1"/>
  <c r="N43"/>
  <c r="P2"/>
  <c r="N44" l="1"/>
  <c r="O43"/>
  <c r="O44" l="1"/>
  <c r="N45"/>
  <c r="O45" l="1"/>
  <c r="N46"/>
  <c r="N47" l="1"/>
  <c r="O46"/>
  <c r="O47" l="1"/>
  <c r="N48"/>
  <c r="N49" l="1"/>
  <c r="O48"/>
  <c r="N50" l="1"/>
  <c r="O49"/>
  <c r="N51" l="1"/>
  <c r="O50"/>
  <c r="O51" l="1"/>
  <c r="N52"/>
  <c r="O52" l="1"/>
  <c r="N53"/>
  <c r="N54" l="1"/>
  <c r="O53"/>
  <c r="O54" l="1"/>
  <c r="N55"/>
  <c r="O55" l="1"/>
  <c r="N56"/>
  <c r="N57" l="1"/>
  <c r="O56"/>
  <c r="N58" l="1"/>
  <c r="O57"/>
  <c r="N59" l="1"/>
  <c r="O58"/>
  <c r="O59" l="1"/>
  <c r="N60"/>
  <c r="N61" l="1"/>
  <c r="O60"/>
  <c r="O61" l="1"/>
  <c r="R61"/>
  <c r="N62"/>
  <c r="O62" l="1"/>
  <c r="N63"/>
  <c r="N64" l="1"/>
  <c r="O63"/>
  <c r="N65" l="1"/>
  <c r="O64"/>
  <c r="N66" l="1"/>
  <c r="O65"/>
  <c r="N67" l="1"/>
  <c r="O66"/>
  <c r="N68" l="1"/>
  <c r="O67"/>
  <c r="O68" l="1"/>
  <c r="N69"/>
  <c r="O69" l="1"/>
  <c r="N70"/>
  <c r="N71" l="1"/>
  <c r="O70"/>
  <c r="N72" l="1"/>
  <c r="O71"/>
  <c r="O72" l="1"/>
  <c r="N73"/>
  <c r="O73" l="1"/>
  <c r="N74"/>
  <c r="N75" l="1"/>
  <c r="O74"/>
  <c r="O75" l="1"/>
  <c r="N76"/>
  <c r="O76" l="1"/>
  <c r="N77"/>
  <c r="N78" l="1"/>
  <c r="O77"/>
  <c r="N79" l="1"/>
  <c r="O78"/>
  <c r="N80" l="1"/>
  <c r="O79"/>
  <c r="O80" l="1"/>
  <c r="N81"/>
  <c r="N82" l="1"/>
  <c r="O81"/>
  <c r="O82" l="1"/>
  <c r="N83"/>
  <c r="N84" l="1"/>
  <c r="O83"/>
  <c r="N85" l="1"/>
  <c r="O84"/>
  <c r="N86" l="1"/>
  <c r="O85"/>
  <c r="O86" l="1"/>
  <c r="N87"/>
  <c r="O87" l="1"/>
  <c r="N88"/>
  <c r="N89" l="1"/>
  <c r="O88"/>
  <c r="O89" l="1"/>
  <c r="N90"/>
  <c r="O90" l="1"/>
  <c r="N91"/>
  <c r="N92" l="1"/>
  <c r="O91"/>
  <c r="N93" l="1"/>
  <c r="O92"/>
  <c r="O93" l="1"/>
  <c r="N94"/>
  <c r="N95" l="1"/>
  <c r="O94"/>
  <c r="N96" l="1"/>
  <c r="O95"/>
  <c r="O96" l="1"/>
  <c r="N97"/>
  <c r="O97" l="1"/>
  <c r="N98"/>
  <c r="N99" l="1"/>
  <c r="O98"/>
  <c r="N100" l="1"/>
  <c r="O99"/>
  <c r="N101" l="1"/>
  <c r="O100"/>
  <c r="N102" l="1"/>
  <c r="O101"/>
  <c r="O102" l="1"/>
  <c r="N103"/>
  <c r="O103" l="1"/>
  <c r="N104"/>
  <c r="N105" l="1"/>
  <c r="O104"/>
  <c r="N106" l="1"/>
  <c r="O105"/>
  <c r="N109" l="1"/>
  <c r="N110" s="1"/>
  <c r="O106"/>
  <c r="N111"/>
  <c r="N1" l="1"/>
  <c r="R1" s="1"/>
  <c r="R90"/>
</calcChain>
</file>

<file path=xl/comments1.xml><?xml version="1.0" encoding="utf-8"?>
<comments xmlns="http://schemas.openxmlformats.org/spreadsheetml/2006/main">
  <authors>
    <author>Jeffry J Smith</author>
  </authors>
  <commentList>
    <comment ref="N6" authorId="0">
      <text>
        <r>
          <rPr>
            <b/>
            <sz val="9"/>
            <color indexed="81"/>
            <rFont val="Tahoma"/>
            <family val="2"/>
          </rPr>
          <t>Jeffry J Smith:</t>
        </r>
        <r>
          <rPr>
            <sz val="9"/>
            <color indexed="81"/>
            <rFont val="Tahoma"/>
            <family val="2"/>
          </rPr>
          <t xml:space="preserve">
2016 COGS</t>
        </r>
      </text>
    </comment>
    <comment ref="G33" authorId="0">
      <text>
        <r>
          <rPr>
            <b/>
            <sz val="9"/>
            <color indexed="81"/>
            <rFont val="Tahoma"/>
            <family val="2"/>
          </rPr>
          <t>Jeffry J Smith:</t>
        </r>
        <r>
          <rPr>
            <sz val="9"/>
            <color indexed="81"/>
            <rFont val="Tahoma"/>
            <family val="2"/>
          </rPr>
          <t xml:space="preserve">
I sold 4 books at B&amp;N. They bought 4 books from Expanded distribution.</t>
        </r>
      </text>
    </comment>
    <comment ref="F82" authorId="0">
      <text>
        <r>
          <rPr>
            <b/>
            <sz val="9"/>
            <color indexed="81"/>
            <rFont val="Tahoma"/>
            <family val="2"/>
          </rPr>
          <t>Jeffry J Smith:</t>
        </r>
        <r>
          <rPr>
            <sz val="9"/>
            <color indexed="81"/>
            <rFont val="Tahoma"/>
            <family val="2"/>
          </rPr>
          <t xml:space="preserve">
51.34 Prime discount</t>
        </r>
      </text>
    </comment>
  </commentList>
</comments>
</file>

<file path=xl/sharedStrings.xml><?xml version="1.0" encoding="utf-8"?>
<sst xmlns="http://schemas.openxmlformats.org/spreadsheetml/2006/main" count="195" uniqueCount="109">
  <si>
    <t>Book Costs</t>
  </si>
  <si>
    <t>Total Inventory:</t>
  </si>
  <si>
    <t>2017 COGS</t>
  </si>
  <si>
    <t>Less shrinkage</t>
  </si>
  <si>
    <t>Date</t>
  </si>
  <si>
    <t>Quantity</t>
  </si>
  <si>
    <t>Cost per book</t>
  </si>
  <si>
    <t>Shipping</t>
  </si>
  <si>
    <t>Sales tax</t>
  </si>
  <si>
    <t xml:space="preserve">Total Cost </t>
  </si>
  <si>
    <t>Description</t>
  </si>
  <si>
    <t>Discount</t>
  </si>
  <si>
    <t>Print Books Sold</t>
  </si>
  <si>
    <t>Books Given</t>
  </si>
  <si>
    <t>Consignment Inventory</t>
  </si>
  <si>
    <t>On hand Ending inventory number</t>
  </si>
  <si>
    <t>Ending Onhand Inventory Value</t>
  </si>
  <si>
    <t>Onhand Inventory Value Change</t>
  </si>
  <si>
    <t>Proof copy</t>
  </si>
  <si>
    <t>Initial book order</t>
  </si>
  <si>
    <t>2nd book order</t>
  </si>
  <si>
    <t>Return from bookstore</t>
  </si>
  <si>
    <t>I know You Like a book</t>
  </si>
  <si>
    <t>Lit on Fire Consignment</t>
  </si>
  <si>
    <t>Her Majesty's Tea room</t>
  </si>
  <si>
    <t>2nd Proof copy</t>
  </si>
  <si>
    <t>Book Nook</t>
  </si>
  <si>
    <t>Chilicothe Library</t>
  </si>
  <si>
    <t>PA at Galena Park</t>
  </si>
  <si>
    <t>2017 Actual</t>
  </si>
  <si>
    <t>3rd book order</t>
  </si>
  <si>
    <t>Lit on Fire Open Mic</t>
  </si>
  <si>
    <t>Barnes and Noble</t>
  </si>
  <si>
    <t>The Book Rack</t>
  </si>
  <si>
    <t>Yordy Turkeys</t>
  </si>
  <si>
    <t>Peoria Library</t>
  </si>
  <si>
    <t>Chambanacon</t>
  </si>
  <si>
    <t>End of 2017</t>
  </si>
  <si>
    <t>Actual count</t>
  </si>
  <si>
    <t>Difference</t>
  </si>
  <si>
    <t>Value</t>
  </si>
  <si>
    <t>Her Majesty's Tea Room</t>
  </si>
  <si>
    <t>Books to Benefit</t>
  </si>
  <si>
    <t xml:space="preserve">Book Nook Washington </t>
  </si>
  <si>
    <t>Penned Con</t>
  </si>
  <si>
    <t>Monthly winners</t>
  </si>
  <si>
    <t>First Friday</t>
  </si>
  <si>
    <t>End of 2018</t>
  </si>
  <si>
    <t>Difference=</t>
  </si>
  <si>
    <t>COGS</t>
  </si>
  <si>
    <t>ZT COGS 2018</t>
  </si>
  <si>
    <t>PeoriaCon</t>
  </si>
  <si>
    <t>4th book order</t>
  </si>
  <si>
    <t>Northwoods Mall</t>
  </si>
  <si>
    <t>QuadCon</t>
  </si>
  <si>
    <t>Springfield ComicCon</t>
  </si>
  <si>
    <t>Tremont Turkey Festival</t>
  </si>
  <si>
    <t>Geekfest</t>
  </si>
  <si>
    <t>Little Library</t>
  </si>
  <si>
    <t>Archon</t>
  </si>
  <si>
    <t>Washington HS</t>
  </si>
  <si>
    <t>5th Book order</t>
  </si>
  <si>
    <t>EOY Inv</t>
  </si>
  <si>
    <t>End of 2019</t>
  </si>
  <si>
    <t>Lit On Fire</t>
  </si>
  <si>
    <t>End of 2020</t>
  </si>
  <si>
    <t>QuadCon NW Mall</t>
  </si>
  <si>
    <t>6th book order</t>
  </si>
  <si>
    <t>QuadCon Burlington Mall</t>
  </si>
  <si>
    <t xml:space="preserve">Book Rack </t>
  </si>
  <si>
    <t>Book Nook returns</t>
  </si>
  <si>
    <t>Quadcon Peoria</t>
  </si>
  <si>
    <t>7th book order</t>
  </si>
  <si>
    <t>Bishop Hill</t>
  </si>
  <si>
    <t>AISLE conference</t>
  </si>
  <si>
    <t>Main Library Author Fair</t>
  </si>
  <si>
    <t>Quadcon</t>
  </si>
  <si>
    <t>Consignment inventory</t>
  </si>
  <si>
    <t>Totals</t>
  </si>
  <si>
    <t>Inventory sold or given</t>
  </si>
  <si>
    <t>Total Books Sold+Given+Consignment+Remaining</t>
  </si>
  <si>
    <t>MUM Additions to inventory</t>
  </si>
  <si>
    <t>Checksum</t>
  </si>
  <si>
    <t>ZT Additions</t>
  </si>
  <si>
    <t>Inventory remaining</t>
  </si>
  <si>
    <t>missing</t>
  </si>
  <si>
    <t>Total Additions to Inventory ZT+ MUM</t>
  </si>
  <si>
    <t>PP Additions</t>
  </si>
  <si>
    <t>Total Additions to Inventory ZT+ MUM+PP</t>
  </si>
  <si>
    <t>EOY 2019 inventory</t>
  </si>
  <si>
    <t>ZT</t>
  </si>
  <si>
    <t>PP</t>
  </si>
  <si>
    <t>SS Additions</t>
  </si>
  <si>
    <t>MUM</t>
  </si>
  <si>
    <t>SS</t>
  </si>
  <si>
    <t>Oops Additions</t>
  </si>
  <si>
    <t>Oops</t>
  </si>
  <si>
    <t>VV</t>
  </si>
  <si>
    <t>Total additions ZT+PP+SS+Oops</t>
  </si>
  <si>
    <t>Total</t>
  </si>
  <si>
    <t>VV Additions</t>
  </si>
  <si>
    <t>EOY 2020 Inventory</t>
  </si>
  <si>
    <t>On hand Inventory 12/31</t>
  </si>
  <si>
    <t>ZD</t>
  </si>
  <si>
    <t>ZD Additions</t>
  </si>
  <si>
    <t>Total additions ZT+ZD+MUM+PP+SS+Oops+VV</t>
  </si>
  <si>
    <t xml:space="preserve">Gifts </t>
  </si>
  <si>
    <t>Total less gifts</t>
  </si>
  <si>
    <t>Customer</t>
  </si>
</sst>
</file>

<file path=xl/styles.xml><?xml version="1.0" encoding="utf-8"?>
<styleSheet xmlns="http://schemas.openxmlformats.org/spreadsheetml/2006/main">
  <numFmts count="2">
    <numFmt numFmtId="8" formatCode="&quot;$&quot;#,##0.00_);[Red]\(&quot;$&quot;#,##0.00\)"/>
    <numFmt numFmtId="164" formatCode="&quot;$&quot;#,##0.0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 val="double"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66FF33"/>
        <bgColor indexed="64"/>
      </patternFill>
    </fill>
    <fill>
      <patternFill patternType="solid">
        <fgColor rgb="FF66FF33"/>
        <bgColor theme="6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rgb="FF66FF33"/>
        <bgColor theme="6" tint="0.59999389629810485"/>
      </patternFill>
    </fill>
    <fill>
      <patternFill patternType="solid">
        <fgColor theme="6" tint="0.79998168889431442"/>
        <bgColor theme="6" tint="0.79998168889431442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/>
  </cellStyleXfs>
  <cellXfs count="40">
    <xf numFmtId="0" fontId="0" fillId="0" borderId="0" xfId="0"/>
    <xf numFmtId="0" fontId="3" fillId="0" borderId="0" xfId="0" applyFont="1"/>
    <xf numFmtId="164" fontId="3" fillId="0" borderId="0" xfId="0" applyNumberFormat="1" applyFont="1"/>
    <xf numFmtId="16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2" fillId="0" borderId="0" xfId="0" applyFont="1" applyAlignment="1">
      <alignment wrapText="1"/>
    </xf>
    <xf numFmtId="14" fontId="0" fillId="0" borderId="0" xfId="0" applyNumberFormat="1"/>
    <xf numFmtId="8" fontId="0" fillId="0" borderId="0" xfId="0" applyNumberFormat="1"/>
    <xf numFmtId="0" fontId="0" fillId="2" borderId="0" xfId="0" applyFill="1"/>
    <xf numFmtId="164" fontId="4" fillId="0" borderId="0" xfId="0" applyNumberFormat="1" applyFont="1"/>
    <xf numFmtId="14" fontId="5" fillId="0" borderId="0" xfId="0" applyNumberFormat="1" applyFont="1"/>
    <xf numFmtId="0" fontId="5" fillId="0" borderId="0" xfId="0" applyFont="1"/>
    <xf numFmtId="164" fontId="5" fillId="0" borderId="0" xfId="0" applyNumberFormat="1" applyFont="1"/>
    <xf numFmtId="0" fontId="5" fillId="2" borderId="0" xfId="0" applyFont="1" applyFill="1"/>
    <xf numFmtId="0" fontId="0" fillId="4" borderId="0" xfId="0" applyFill="1"/>
    <xf numFmtId="0" fontId="0" fillId="5" borderId="0" xfId="0" applyFill="1"/>
    <xf numFmtId="14" fontId="0" fillId="6" borderId="2" xfId="0" applyNumberFormat="1" applyFont="1" applyFill="1" applyBorder="1"/>
    <xf numFmtId="0" fontId="0" fillId="7" borderId="2" xfId="0" applyFont="1" applyFill="1" applyBorder="1"/>
    <xf numFmtId="14" fontId="0" fillId="6" borderId="0" xfId="0" applyNumberFormat="1" applyFont="1" applyFill="1" applyBorder="1"/>
    <xf numFmtId="0" fontId="0" fillId="8" borderId="3" xfId="0" applyFont="1" applyFill="1" applyBorder="1"/>
    <xf numFmtId="0" fontId="0" fillId="7" borderId="0" xfId="0" applyFont="1" applyFill="1" applyBorder="1"/>
    <xf numFmtId="0" fontId="0" fillId="6" borderId="0" xfId="0" applyFont="1" applyFill="1" applyBorder="1"/>
    <xf numFmtId="0" fontId="0" fillId="3" borderId="0" xfId="0" applyFill="1" applyBorder="1"/>
    <xf numFmtId="0" fontId="0" fillId="3" borderId="0" xfId="0" applyFont="1" applyFill="1" applyBorder="1"/>
    <xf numFmtId="0" fontId="0" fillId="8" borderId="0" xfId="0" applyFill="1" applyBorder="1"/>
    <xf numFmtId="0" fontId="0" fillId="8" borderId="0" xfId="0" applyFont="1" applyFill="1" applyBorder="1"/>
    <xf numFmtId="0" fontId="2" fillId="2" borderId="0" xfId="0" applyFont="1" applyFill="1"/>
    <xf numFmtId="0" fontId="6" fillId="0" borderId="0" xfId="0" applyFont="1"/>
    <xf numFmtId="164" fontId="6" fillId="0" borderId="0" xfId="0" applyNumberFormat="1" applyFont="1"/>
    <xf numFmtId="14" fontId="0" fillId="8" borderId="4" xfId="0" applyNumberFormat="1" applyFont="1" applyFill="1" applyBorder="1"/>
    <xf numFmtId="14" fontId="0" fillId="8" borderId="0" xfId="0" applyNumberFormat="1" applyFont="1" applyFill="1" applyBorder="1"/>
    <xf numFmtId="2" fontId="0" fillId="0" borderId="0" xfId="0" applyNumberFormat="1"/>
    <xf numFmtId="0" fontId="0" fillId="0" borderId="0" xfId="0" applyFill="1"/>
    <xf numFmtId="14" fontId="0" fillId="8" borderId="0" xfId="0" applyNumberFormat="1" applyFill="1" applyBorder="1"/>
    <xf numFmtId="0" fontId="0" fillId="0" borderId="0" xfId="0" applyAlignment="1">
      <alignment wrapText="1"/>
    </xf>
    <xf numFmtId="10" fontId="0" fillId="0" borderId="0" xfId="1" applyNumberFormat="1" applyFont="1"/>
    <xf numFmtId="0" fontId="6" fillId="0" borderId="0" xfId="0" applyFont="1" applyAlignment="1">
      <alignment wrapText="1"/>
    </xf>
    <xf numFmtId="164" fontId="0" fillId="0" borderId="0" xfId="0" applyNumberFormat="1" applyFont="1"/>
    <xf numFmtId="0" fontId="0" fillId="3" borderId="1" xfId="0" applyFill="1" applyBorder="1"/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riting%20stats%20new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Writing log"/>
      <sheetName val="General ledger"/>
      <sheetName val="Annual Summary"/>
      <sheetName val="ZT Book order costs"/>
      <sheetName val="ZD  order costs"/>
      <sheetName val="MUM Book order costs"/>
      <sheetName val="PP Book order costs"/>
      <sheetName val="Oops order costs"/>
      <sheetName val="SS Book order costs"/>
      <sheetName val="VV order costs"/>
      <sheetName val="Book profits"/>
      <sheetName val="Booklists"/>
      <sheetName val="Outreach"/>
      <sheetName val="Books Sold"/>
      <sheetName val="Books given"/>
      <sheetName val="Audiobook Sales"/>
      <sheetName val="Printing costs"/>
      <sheetName val="Amazon Ad1"/>
      <sheetName val="Subscribers"/>
      <sheetName val="Illinois Libraries"/>
      <sheetName val="Illinois Bookstores"/>
      <sheetName val="Book publicists"/>
      <sheetName val="Market analysis"/>
      <sheetName val="ConventionsEvents"/>
      <sheetName val="Amazon search words"/>
      <sheetName val="Facebook groups"/>
      <sheetName val="Middle school books"/>
      <sheetName val="Zombie Books on Amazon"/>
      <sheetName val="Audiobook tour"/>
    </sheetNames>
    <sheetDataSet>
      <sheetData sheetId="0"/>
      <sheetData sheetId="1"/>
      <sheetData sheetId="2"/>
      <sheetData sheetId="3"/>
      <sheetData sheetId="4"/>
      <sheetData sheetId="5">
        <row r="33">
          <cell r="F33">
            <v>194.06</v>
          </cell>
        </row>
        <row r="74">
          <cell r="F74">
            <v>218.4</v>
          </cell>
        </row>
      </sheetData>
      <sheetData sheetId="6">
        <row r="55">
          <cell r="F55"/>
        </row>
      </sheetData>
      <sheetData sheetId="7"/>
      <sheetData sheetId="8"/>
      <sheetData sheetId="9"/>
      <sheetData sheetId="10"/>
      <sheetData sheetId="11"/>
      <sheetData sheetId="12"/>
      <sheetData sheetId="13">
        <row r="22">
          <cell r="D22">
            <v>6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46"/>
  <sheetViews>
    <sheetView tabSelected="1" topLeftCell="A82" zoomScale="150" zoomScaleNormal="150" workbookViewId="0">
      <selection activeCell="G107" sqref="G107"/>
    </sheetView>
  </sheetViews>
  <sheetFormatPr defaultRowHeight="15"/>
  <cols>
    <col min="1" max="1" width="11" bestFit="1" customWidth="1"/>
    <col min="6" max="6" width="9.28515625" bestFit="1" customWidth="1"/>
    <col min="7" max="7" width="22.28515625" bestFit="1" customWidth="1"/>
    <col min="12" max="12" width="12.42578125" customWidth="1"/>
    <col min="14" max="14" width="10.28515625" bestFit="1" customWidth="1"/>
    <col min="16" max="16" width="11.42578125" bestFit="1" customWidth="1"/>
  </cols>
  <sheetData>
    <row r="1" spans="1:18">
      <c r="A1" t="s">
        <v>0</v>
      </c>
      <c r="B1" s="1">
        <f>SUM(B6:B107)</f>
        <v>282</v>
      </c>
      <c r="C1" s="1">
        <f>F1/B1</f>
        <v>3.5884751773049643</v>
      </c>
      <c r="D1" s="2">
        <f>SUM(D3:D18)</f>
        <v>53.180000000000007</v>
      </c>
      <c r="E1" s="2">
        <f>SUM(E3:E18)</f>
        <v>19.2</v>
      </c>
      <c r="F1" s="2">
        <f>SUM(F3:F100)</f>
        <v>1011.9499999999999</v>
      </c>
      <c r="I1" s="3">
        <f>F1/B1</f>
        <v>3.5884751773049643</v>
      </c>
      <c r="L1" s="4" t="s">
        <v>1</v>
      </c>
      <c r="M1" s="4"/>
      <c r="N1" s="5">
        <f>N111</f>
        <v>80.958933333333491</v>
      </c>
      <c r="P1" t="s">
        <v>2</v>
      </c>
      <c r="Q1" t="s">
        <v>3</v>
      </c>
      <c r="R1" s="3" t="e">
        <f>N1-#REF!</f>
        <v>#REF!</v>
      </c>
    </row>
    <row r="2" spans="1:18" ht="75">
      <c r="A2" s="4" t="s">
        <v>4</v>
      </c>
      <c r="B2" s="4" t="s">
        <v>5</v>
      </c>
      <c r="C2" s="6" t="s">
        <v>6</v>
      </c>
      <c r="D2" s="4" t="s">
        <v>7</v>
      </c>
      <c r="E2" s="4" t="s">
        <v>8</v>
      </c>
      <c r="F2" s="4" t="s">
        <v>9</v>
      </c>
      <c r="G2" s="4" t="s">
        <v>10</v>
      </c>
      <c r="H2" s="4" t="s">
        <v>11</v>
      </c>
      <c r="I2" s="4" t="s">
        <v>6</v>
      </c>
      <c r="J2" s="6" t="s">
        <v>12</v>
      </c>
      <c r="K2" s="6" t="s">
        <v>13</v>
      </c>
      <c r="L2" s="6" t="s">
        <v>14</v>
      </c>
      <c r="M2" s="6" t="s">
        <v>15</v>
      </c>
      <c r="N2" s="6" t="s">
        <v>16</v>
      </c>
      <c r="O2" s="6" t="s">
        <v>17</v>
      </c>
      <c r="P2" s="3">
        <f>N6+F18+F26-(N42+N107)</f>
        <v>88.718799999999902</v>
      </c>
    </row>
    <row r="3" spans="1:18">
      <c r="A3" s="7">
        <v>42647</v>
      </c>
      <c r="B3">
        <v>1</v>
      </c>
      <c r="C3" s="3">
        <v>3.01</v>
      </c>
      <c r="D3" s="3">
        <v>3.59</v>
      </c>
      <c r="E3" s="3">
        <v>0.19</v>
      </c>
      <c r="F3" s="3">
        <v>6.79</v>
      </c>
      <c r="G3" t="s">
        <v>18</v>
      </c>
      <c r="I3" s="3">
        <f>F3/B3</f>
        <v>6.79</v>
      </c>
      <c r="M3">
        <f>B3-(J3+K3)</f>
        <v>1</v>
      </c>
      <c r="N3" s="3">
        <f>F3</f>
        <v>6.79</v>
      </c>
      <c r="O3" s="8">
        <f>N3</f>
        <v>6.79</v>
      </c>
      <c r="P3" s="3">
        <f>I3-I4</f>
        <v>3.1318000000000001</v>
      </c>
    </row>
    <row r="4" spans="1:18">
      <c r="A4" s="7">
        <v>42660</v>
      </c>
      <c r="B4">
        <v>50</v>
      </c>
      <c r="C4" s="3">
        <v>3.01</v>
      </c>
      <c r="D4" s="3">
        <v>23</v>
      </c>
      <c r="E4" s="3">
        <v>9.41</v>
      </c>
      <c r="F4" s="3">
        <v>182.91</v>
      </c>
      <c r="G4" t="s">
        <v>19</v>
      </c>
      <c r="I4" s="3">
        <f>F4/B4</f>
        <v>3.6581999999999999</v>
      </c>
      <c r="J4" s="9">
        <v>19</v>
      </c>
      <c r="K4" s="9">
        <v>13</v>
      </c>
      <c r="M4">
        <f>B4-(J4+K4)+M3</f>
        <v>19</v>
      </c>
      <c r="N4" s="3">
        <f>M4*I4+N3</f>
        <v>76.2958</v>
      </c>
      <c r="O4" s="8">
        <f>N4-N3</f>
        <v>69.505799999999994</v>
      </c>
    </row>
    <row r="5" spans="1:18">
      <c r="A5" s="7">
        <v>42689</v>
      </c>
      <c r="B5">
        <v>50</v>
      </c>
      <c r="C5" s="3">
        <v>3.01</v>
      </c>
      <c r="D5" s="3">
        <v>23</v>
      </c>
      <c r="E5" s="3">
        <v>9.41</v>
      </c>
      <c r="F5" s="3">
        <v>182.91</v>
      </c>
      <c r="G5" t="s">
        <v>20</v>
      </c>
      <c r="I5" s="3">
        <f>F5/B5</f>
        <v>3.6581999999999999</v>
      </c>
      <c r="J5" s="9">
        <v>1</v>
      </c>
      <c r="K5" s="3"/>
      <c r="L5" s="3"/>
      <c r="M5">
        <f>B5-(J5+K5)+M4</f>
        <v>68</v>
      </c>
      <c r="N5" s="10">
        <f>F5+N4-(J5+K5)*I5</f>
        <v>255.54760000000002</v>
      </c>
      <c r="O5" s="8">
        <f>N5-N4</f>
        <v>179.2518</v>
      </c>
    </row>
    <row r="6" spans="1:18">
      <c r="A6" s="11">
        <v>42735</v>
      </c>
      <c r="B6" s="12">
        <f>B3+B4+B5</f>
        <v>101</v>
      </c>
      <c r="C6" s="12"/>
      <c r="D6" s="13"/>
      <c r="E6" s="13"/>
      <c r="F6" s="13"/>
      <c r="G6" s="12"/>
      <c r="H6" s="12"/>
      <c r="I6" s="12"/>
      <c r="J6" s="14">
        <f>SUM(J3:J5)</f>
        <v>20</v>
      </c>
      <c r="K6" s="14">
        <f>SUM(K3:K5)</f>
        <v>13</v>
      </c>
      <c r="L6" s="12"/>
      <c r="M6" s="12">
        <f>B6-(J6+K6)</f>
        <v>68</v>
      </c>
      <c r="N6" s="13">
        <f>(J6+K6)*I5</f>
        <v>120.72059999999999</v>
      </c>
      <c r="O6" s="8">
        <v>0</v>
      </c>
    </row>
    <row r="7" spans="1:18">
      <c r="A7" s="7">
        <v>42748</v>
      </c>
      <c r="K7" s="9">
        <v>1</v>
      </c>
      <c r="L7" s="12"/>
      <c r="M7">
        <f>M6-(J7+K7)</f>
        <v>67</v>
      </c>
      <c r="N7" s="3">
        <f>N5-(J7+K7)*$I$4</f>
        <v>251.88940000000002</v>
      </c>
      <c r="O7" s="8">
        <f>N7-N5</f>
        <v>-3.6581999999999937</v>
      </c>
    </row>
    <row r="8" spans="1:18">
      <c r="A8" s="7">
        <v>42749</v>
      </c>
      <c r="G8" t="s">
        <v>21</v>
      </c>
      <c r="I8">
        <v>3.6581999999999999</v>
      </c>
      <c r="K8">
        <v>-1</v>
      </c>
      <c r="L8" s="12"/>
      <c r="M8">
        <f>M7-(J8+K8)</f>
        <v>68</v>
      </c>
      <c r="N8" s="3">
        <f>N7-(J8+K8)*$I$4</f>
        <v>255.54760000000002</v>
      </c>
      <c r="O8" s="8">
        <f t="shared" ref="O8:O14" si="0">N8-N7</f>
        <v>3.6581999999999937</v>
      </c>
    </row>
    <row r="9" spans="1:18">
      <c r="A9" s="7">
        <v>42749</v>
      </c>
      <c r="F9" s="3"/>
      <c r="G9" s="9" t="s">
        <v>22</v>
      </c>
      <c r="I9" s="9">
        <v>3.66</v>
      </c>
      <c r="J9" s="9">
        <f>'[1]Books Sold'!$D$22</f>
        <v>6</v>
      </c>
      <c r="M9">
        <f t="shared" ref="M9:M14" si="1">M8-(J9+K9)</f>
        <v>62</v>
      </c>
      <c r="N9" s="3">
        <f t="shared" ref="N9:N14" si="2">N8-(J9+K9)*$I$4</f>
        <v>233.59840000000003</v>
      </c>
      <c r="O9" s="8">
        <f t="shared" si="0"/>
        <v>-21.94919999999999</v>
      </c>
    </row>
    <row r="10" spans="1:18">
      <c r="A10" s="7">
        <v>42777</v>
      </c>
      <c r="G10" s="39" t="s">
        <v>108</v>
      </c>
      <c r="I10" s="9">
        <v>3.66</v>
      </c>
      <c r="J10" s="9">
        <v>1</v>
      </c>
      <c r="M10">
        <f t="shared" si="1"/>
        <v>61</v>
      </c>
      <c r="N10" s="3">
        <f t="shared" si="2"/>
        <v>229.94020000000003</v>
      </c>
      <c r="O10" s="8">
        <f t="shared" si="0"/>
        <v>-3.6581999999999937</v>
      </c>
    </row>
    <row r="11" spans="1:18">
      <c r="A11" s="7">
        <v>42788</v>
      </c>
      <c r="G11" s="39" t="s">
        <v>108</v>
      </c>
      <c r="I11">
        <v>3.66</v>
      </c>
      <c r="K11" s="9">
        <v>9</v>
      </c>
      <c r="M11">
        <f t="shared" si="1"/>
        <v>52</v>
      </c>
      <c r="N11" s="3">
        <f t="shared" si="2"/>
        <v>197.01640000000003</v>
      </c>
      <c r="O11" s="8">
        <f t="shared" si="0"/>
        <v>-32.9238</v>
      </c>
    </row>
    <row r="12" spans="1:18">
      <c r="A12" s="7">
        <v>42800</v>
      </c>
      <c r="G12" s="39" t="s">
        <v>108</v>
      </c>
      <c r="I12" s="9">
        <v>3.66</v>
      </c>
      <c r="J12" s="9">
        <v>1</v>
      </c>
      <c r="M12">
        <f t="shared" si="1"/>
        <v>51</v>
      </c>
      <c r="N12" s="3">
        <f t="shared" si="2"/>
        <v>193.35820000000004</v>
      </c>
      <c r="O12" s="8">
        <f t="shared" si="0"/>
        <v>-3.6581999999999937</v>
      </c>
    </row>
    <row r="13" spans="1:18">
      <c r="A13" s="7">
        <v>42807</v>
      </c>
      <c r="G13" s="39" t="s">
        <v>108</v>
      </c>
      <c r="I13">
        <v>3.66</v>
      </c>
      <c r="K13" s="9">
        <v>1</v>
      </c>
      <c r="M13">
        <f t="shared" si="1"/>
        <v>50</v>
      </c>
      <c r="N13" s="3">
        <f t="shared" si="2"/>
        <v>189.70000000000005</v>
      </c>
      <c r="O13" s="8">
        <f t="shared" si="0"/>
        <v>-3.6581999999999937</v>
      </c>
    </row>
    <row r="14" spans="1:18">
      <c r="A14" s="7">
        <v>42818</v>
      </c>
      <c r="G14" s="39" t="s">
        <v>108</v>
      </c>
      <c r="I14" s="9">
        <v>3.66</v>
      </c>
      <c r="J14" s="9">
        <v>1</v>
      </c>
      <c r="M14">
        <f t="shared" si="1"/>
        <v>49</v>
      </c>
      <c r="N14" s="3">
        <f t="shared" si="2"/>
        <v>186.04180000000005</v>
      </c>
      <c r="O14" s="8">
        <f t="shared" si="0"/>
        <v>-3.6581999999999937</v>
      </c>
    </row>
    <row r="15" spans="1:18">
      <c r="A15" s="7">
        <v>42837</v>
      </c>
      <c r="G15" t="s">
        <v>23</v>
      </c>
      <c r="I15">
        <v>3.66</v>
      </c>
      <c r="L15" s="9">
        <v>3</v>
      </c>
      <c r="M15">
        <f>M14-(J15+K15+L15)</f>
        <v>46</v>
      </c>
      <c r="N15" s="3">
        <f>N14-(J15+K15+L15)*$I$4</f>
        <v>175.06720000000004</v>
      </c>
      <c r="O15" s="8">
        <f>N15-N14</f>
        <v>-10.974600000000009</v>
      </c>
    </row>
    <row r="16" spans="1:18">
      <c r="A16" s="7">
        <v>42848</v>
      </c>
      <c r="G16" s="9" t="s">
        <v>24</v>
      </c>
      <c r="I16" s="9">
        <v>3.66</v>
      </c>
      <c r="J16" s="9">
        <v>4</v>
      </c>
      <c r="L16" s="15">
        <v>0</v>
      </c>
      <c r="M16">
        <f>M15-(J16+K16+L16)</f>
        <v>42</v>
      </c>
      <c r="N16" s="3">
        <f t="shared" ref="N16:N22" si="3">N15-(J16+K16+L16)*$I$4</f>
        <v>160.43440000000004</v>
      </c>
      <c r="O16" s="8">
        <f t="shared" ref="O16:O79" si="4">N16-N15</f>
        <v>-14.632800000000003</v>
      </c>
    </row>
    <row r="17" spans="1:16">
      <c r="A17" s="7">
        <v>42862</v>
      </c>
      <c r="G17" s="39" t="s">
        <v>108</v>
      </c>
      <c r="I17" s="9">
        <v>3.66</v>
      </c>
      <c r="J17" s="9">
        <v>1</v>
      </c>
      <c r="M17">
        <f>M16-(J17+K17+L17)</f>
        <v>41</v>
      </c>
      <c r="N17" s="3">
        <f t="shared" si="3"/>
        <v>156.77620000000005</v>
      </c>
      <c r="O17" s="8">
        <f t="shared" si="4"/>
        <v>-3.6581999999999937</v>
      </c>
    </row>
    <row r="18" spans="1:16">
      <c r="A18" s="7">
        <v>42870</v>
      </c>
      <c r="B18">
        <v>1</v>
      </c>
      <c r="C18">
        <v>3.08</v>
      </c>
      <c r="D18">
        <v>3.59</v>
      </c>
      <c r="E18">
        <v>0.19</v>
      </c>
      <c r="F18">
        <v>6.86</v>
      </c>
      <c r="G18" t="s">
        <v>25</v>
      </c>
      <c r="I18">
        <v>6.86</v>
      </c>
      <c r="M18">
        <f>B18+M17-(J18+K18+L18)</f>
        <v>42</v>
      </c>
      <c r="N18" s="3">
        <f>N17+F18</f>
        <v>163.63620000000006</v>
      </c>
      <c r="O18" s="8">
        <f t="shared" si="4"/>
        <v>6.8600000000000136</v>
      </c>
      <c r="P18" s="3">
        <f>I18-I19</f>
        <v>3.2</v>
      </c>
    </row>
    <row r="19" spans="1:16">
      <c r="A19" s="7">
        <v>42881</v>
      </c>
      <c r="G19" t="s">
        <v>24</v>
      </c>
      <c r="I19">
        <v>3.66</v>
      </c>
      <c r="L19" s="15">
        <v>6</v>
      </c>
      <c r="M19">
        <f t="shared" ref="M19:M61" si="5">M18-(J19+K19+L19)</f>
        <v>36</v>
      </c>
      <c r="N19" s="3">
        <f t="shared" si="3"/>
        <v>141.68700000000007</v>
      </c>
      <c r="O19" s="8">
        <f t="shared" si="4"/>
        <v>-21.94919999999999</v>
      </c>
    </row>
    <row r="20" spans="1:16">
      <c r="A20" s="7">
        <v>42882</v>
      </c>
      <c r="G20" s="9" t="s">
        <v>22</v>
      </c>
      <c r="I20" s="9">
        <v>3.66</v>
      </c>
      <c r="J20" s="9">
        <v>2</v>
      </c>
      <c r="M20">
        <f t="shared" si="5"/>
        <v>34</v>
      </c>
      <c r="N20" s="3">
        <f t="shared" si="3"/>
        <v>134.37060000000008</v>
      </c>
      <c r="O20" s="8">
        <f t="shared" si="4"/>
        <v>-7.3163999999999874</v>
      </c>
    </row>
    <row r="21" spans="1:16">
      <c r="A21" s="7">
        <v>42893</v>
      </c>
      <c r="G21" t="s">
        <v>26</v>
      </c>
      <c r="I21">
        <v>3.66</v>
      </c>
      <c r="L21" s="9">
        <v>9</v>
      </c>
      <c r="M21">
        <f t="shared" si="5"/>
        <v>25</v>
      </c>
      <c r="N21" s="3">
        <f>N20-(J21+K21+L21)*$I$4</f>
        <v>101.44680000000008</v>
      </c>
      <c r="O21" s="8">
        <f t="shared" si="4"/>
        <v>-32.9238</v>
      </c>
    </row>
    <row r="22" spans="1:16">
      <c r="A22" s="7">
        <v>42895</v>
      </c>
      <c r="G22" t="s">
        <v>27</v>
      </c>
      <c r="I22">
        <v>3.66</v>
      </c>
      <c r="K22" s="9">
        <v>1</v>
      </c>
      <c r="M22">
        <f t="shared" si="5"/>
        <v>24</v>
      </c>
      <c r="N22" s="3">
        <f t="shared" si="3"/>
        <v>97.788600000000088</v>
      </c>
      <c r="O22" s="8">
        <f t="shared" si="4"/>
        <v>-3.6581999999999937</v>
      </c>
    </row>
    <row r="23" spans="1:16">
      <c r="A23" s="7">
        <v>42896</v>
      </c>
      <c r="G23" s="9" t="s">
        <v>28</v>
      </c>
      <c r="I23" s="9">
        <v>3.66</v>
      </c>
      <c r="J23" s="9">
        <v>1</v>
      </c>
      <c r="M23">
        <f t="shared" si="5"/>
        <v>23</v>
      </c>
      <c r="N23" s="3">
        <f>N22-(J23+K23+L23)*$I$4</f>
        <v>94.130400000000094</v>
      </c>
      <c r="O23" s="8">
        <f>N23-N22</f>
        <v>-3.6581999999999937</v>
      </c>
    </row>
    <row r="24" spans="1:16">
      <c r="A24" s="7">
        <v>42903</v>
      </c>
      <c r="G24" s="9" t="s">
        <v>26</v>
      </c>
      <c r="I24" s="9">
        <v>3.66</v>
      </c>
      <c r="J24" s="9">
        <v>3</v>
      </c>
      <c r="L24" s="9">
        <v>-3</v>
      </c>
      <c r="M24">
        <f t="shared" si="5"/>
        <v>23</v>
      </c>
      <c r="N24" s="3">
        <f>N23-(J24+K24+L24)*$I$4</f>
        <v>94.130400000000094</v>
      </c>
      <c r="O24" s="8">
        <f>N24-N23</f>
        <v>0</v>
      </c>
      <c r="P24" t="s">
        <v>29</v>
      </c>
    </row>
    <row r="25" spans="1:16">
      <c r="A25" s="7">
        <v>42905</v>
      </c>
      <c r="G25" s="9"/>
      <c r="I25" s="9">
        <v>3.66</v>
      </c>
      <c r="J25" s="9">
        <v>1</v>
      </c>
      <c r="M25">
        <f t="shared" si="5"/>
        <v>22</v>
      </c>
      <c r="N25" s="3">
        <f>N24-(J25+K25+L25)*$I$4</f>
        <v>90.4722000000001</v>
      </c>
      <c r="O25" s="8">
        <f t="shared" si="4"/>
        <v>-3.6581999999999937</v>
      </c>
    </row>
    <row r="26" spans="1:16">
      <c r="A26" s="7">
        <v>42918</v>
      </c>
      <c r="B26">
        <v>50</v>
      </c>
      <c r="C26">
        <v>3.08</v>
      </c>
      <c r="D26">
        <v>23</v>
      </c>
      <c r="E26">
        <v>9.6300000000000008</v>
      </c>
      <c r="F26">
        <v>186.63</v>
      </c>
      <c r="G26" t="s">
        <v>30</v>
      </c>
      <c r="I26">
        <f>F26/B26</f>
        <v>3.7325999999999997</v>
      </c>
      <c r="M26">
        <f>M25+B26</f>
        <v>72</v>
      </c>
      <c r="N26" s="3">
        <f>N25+F26</f>
        <v>277.1022000000001</v>
      </c>
      <c r="O26" s="8">
        <f t="shared" si="4"/>
        <v>186.63</v>
      </c>
    </row>
    <row r="27" spans="1:16">
      <c r="A27" s="7">
        <v>42921</v>
      </c>
      <c r="I27">
        <v>3.66</v>
      </c>
      <c r="L27" s="9">
        <v>2</v>
      </c>
      <c r="M27">
        <f t="shared" si="5"/>
        <v>70</v>
      </c>
      <c r="N27" s="3">
        <f t="shared" ref="N27:N39" si="6">N26-(J27+K27+L27)*$I$4</f>
        <v>269.78580000000011</v>
      </c>
      <c r="O27" s="8">
        <f t="shared" si="4"/>
        <v>-7.3163999999999874</v>
      </c>
    </row>
    <row r="28" spans="1:16">
      <c r="A28" s="7">
        <v>42935</v>
      </c>
      <c r="G28" s="9" t="s">
        <v>31</v>
      </c>
      <c r="I28" s="9">
        <v>3.66</v>
      </c>
      <c r="J28" s="9">
        <v>1</v>
      </c>
      <c r="M28">
        <f t="shared" si="5"/>
        <v>69</v>
      </c>
      <c r="N28" s="3">
        <f t="shared" si="6"/>
        <v>266.12760000000009</v>
      </c>
      <c r="O28" s="8">
        <f t="shared" si="4"/>
        <v>-3.6582000000000221</v>
      </c>
    </row>
    <row r="29" spans="1:16">
      <c r="A29" s="7">
        <v>42937</v>
      </c>
      <c r="G29" s="39" t="s">
        <v>108</v>
      </c>
      <c r="I29" s="9">
        <v>3.66</v>
      </c>
      <c r="J29" s="9">
        <v>1</v>
      </c>
      <c r="M29">
        <f t="shared" si="5"/>
        <v>68</v>
      </c>
      <c r="N29" s="3">
        <f t="shared" si="6"/>
        <v>262.46940000000006</v>
      </c>
      <c r="O29" s="8">
        <f t="shared" si="4"/>
        <v>-3.6582000000000221</v>
      </c>
    </row>
    <row r="30" spans="1:16">
      <c r="A30" s="7">
        <v>42943</v>
      </c>
      <c r="G30" s="39" t="s">
        <v>108</v>
      </c>
      <c r="I30" s="9">
        <v>3.66</v>
      </c>
      <c r="J30" s="9">
        <v>1</v>
      </c>
      <c r="M30">
        <f t="shared" si="5"/>
        <v>67</v>
      </c>
      <c r="N30" s="3">
        <f t="shared" si="6"/>
        <v>258.81120000000004</v>
      </c>
      <c r="O30" s="8">
        <f t="shared" si="4"/>
        <v>-3.6582000000000221</v>
      </c>
    </row>
    <row r="31" spans="1:16">
      <c r="A31" s="7">
        <v>42947</v>
      </c>
      <c r="G31" s="39" t="s">
        <v>108</v>
      </c>
      <c r="I31" s="9">
        <v>3.66</v>
      </c>
      <c r="J31" s="9">
        <v>1</v>
      </c>
      <c r="M31">
        <f t="shared" si="5"/>
        <v>66</v>
      </c>
      <c r="N31" s="3">
        <f t="shared" si="6"/>
        <v>255.15300000000005</v>
      </c>
      <c r="O31" s="8">
        <f t="shared" si="4"/>
        <v>-3.6581999999999937</v>
      </c>
    </row>
    <row r="32" spans="1:16">
      <c r="A32" s="7">
        <v>42950</v>
      </c>
      <c r="G32" s="39" t="s">
        <v>108</v>
      </c>
      <c r="I32" s="9">
        <v>3.66</v>
      </c>
      <c r="J32" s="9">
        <v>1</v>
      </c>
      <c r="L32" s="15">
        <v>-1</v>
      </c>
      <c r="M32">
        <f t="shared" si="5"/>
        <v>66</v>
      </c>
      <c r="N32" s="3">
        <f t="shared" si="6"/>
        <v>255.15300000000005</v>
      </c>
      <c r="O32" s="8">
        <f t="shared" si="4"/>
        <v>0</v>
      </c>
    </row>
    <row r="33" spans="1:19">
      <c r="A33" s="7">
        <v>42952</v>
      </c>
      <c r="G33" s="16" t="s">
        <v>32</v>
      </c>
      <c r="I33">
        <v>3.66</v>
      </c>
      <c r="J33" s="16">
        <v>0</v>
      </c>
      <c r="M33">
        <f t="shared" si="5"/>
        <v>66</v>
      </c>
      <c r="N33" s="3">
        <f t="shared" si="6"/>
        <v>255.15300000000005</v>
      </c>
      <c r="O33" s="8">
        <f t="shared" si="4"/>
        <v>0</v>
      </c>
    </row>
    <row r="34" spans="1:19">
      <c r="A34" s="7">
        <v>42966</v>
      </c>
      <c r="G34" s="9" t="s">
        <v>22</v>
      </c>
      <c r="I34">
        <v>3.66</v>
      </c>
      <c r="J34" s="9">
        <v>2</v>
      </c>
      <c r="M34">
        <f t="shared" si="5"/>
        <v>64</v>
      </c>
      <c r="N34" s="3">
        <f t="shared" si="6"/>
        <v>247.83660000000006</v>
      </c>
      <c r="O34" s="8">
        <f t="shared" si="4"/>
        <v>-7.3163999999999874</v>
      </c>
    </row>
    <row r="35" spans="1:19">
      <c r="A35" s="7">
        <v>42969</v>
      </c>
      <c r="G35" s="9" t="s">
        <v>24</v>
      </c>
      <c r="I35">
        <v>3.66</v>
      </c>
      <c r="J35" s="9">
        <v>1</v>
      </c>
      <c r="L35" s="15">
        <v>-1</v>
      </c>
      <c r="M35">
        <f t="shared" si="5"/>
        <v>64</v>
      </c>
      <c r="N35" s="3">
        <f t="shared" si="6"/>
        <v>247.83660000000006</v>
      </c>
      <c r="O35" s="8">
        <f t="shared" si="4"/>
        <v>0</v>
      </c>
    </row>
    <row r="36" spans="1:19">
      <c r="A36" s="7">
        <v>42971</v>
      </c>
      <c r="G36" t="s">
        <v>33</v>
      </c>
      <c r="I36">
        <v>3.66</v>
      </c>
      <c r="L36" s="15">
        <v>1</v>
      </c>
      <c r="M36">
        <f t="shared" si="5"/>
        <v>63</v>
      </c>
      <c r="N36" s="3">
        <f t="shared" si="6"/>
        <v>244.17840000000007</v>
      </c>
      <c r="O36" s="8">
        <f t="shared" si="4"/>
        <v>-3.6581999999999937</v>
      </c>
    </row>
    <row r="37" spans="1:19">
      <c r="A37" s="7">
        <v>42998</v>
      </c>
      <c r="G37" t="s">
        <v>34</v>
      </c>
      <c r="I37">
        <v>3.66</v>
      </c>
      <c r="K37" s="9">
        <v>1</v>
      </c>
      <c r="M37">
        <f t="shared" si="5"/>
        <v>62</v>
      </c>
      <c r="N37" s="3">
        <f t="shared" si="6"/>
        <v>240.52020000000007</v>
      </c>
      <c r="O37" s="8">
        <f t="shared" si="4"/>
        <v>-3.6581999999999937</v>
      </c>
    </row>
    <row r="38" spans="1:19">
      <c r="A38" s="7">
        <v>43035</v>
      </c>
      <c r="G38" s="9" t="s">
        <v>26</v>
      </c>
      <c r="I38">
        <v>3.66</v>
      </c>
      <c r="J38" s="9">
        <v>1</v>
      </c>
      <c r="L38" s="9">
        <v>-1</v>
      </c>
      <c r="M38">
        <f t="shared" si="5"/>
        <v>62</v>
      </c>
      <c r="N38" s="3">
        <f t="shared" si="6"/>
        <v>240.52020000000007</v>
      </c>
      <c r="O38" s="8">
        <f t="shared" si="4"/>
        <v>0</v>
      </c>
    </row>
    <row r="39" spans="1:19">
      <c r="A39" s="7">
        <v>43043</v>
      </c>
      <c r="G39" s="9" t="s">
        <v>35</v>
      </c>
      <c r="I39">
        <v>3.66</v>
      </c>
      <c r="J39" s="9">
        <v>1</v>
      </c>
      <c r="M39">
        <f t="shared" si="5"/>
        <v>61</v>
      </c>
      <c r="N39" s="3">
        <f t="shared" si="6"/>
        <v>236.86200000000008</v>
      </c>
      <c r="O39" s="8">
        <f t="shared" si="4"/>
        <v>-3.6581999999999937</v>
      </c>
    </row>
    <row r="40" spans="1:19">
      <c r="A40" s="7">
        <v>43065</v>
      </c>
      <c r="G40" s="9" t="s">
        <v>36</v>
      </c>
      <c r="I40">
        <v>3.66</v>
      </c>
      <c r="J40" s="9">
        <v>5</v>
      </c>
      <c r="M40">
        <f t="shared" si="5"/>
        <v>56</v>
      </c>
      <c r="N40" s="3">
        <f>N39-(J40+K40+L40)*$I$4</f>
        <v>218.57100000000008</v>
      </c>
      <c r="O40" s="8">
        <f t="shared" si="4"/>
        <v>-18.290999999999997</v>
      </c>
    </row>
    <row r="41" spans="1:19">
      <c r="A41" s="7">
        <v>43070</v>
      </c>
      <c r="G41" s="39" t="s">
        <v>108</v>
      </c>
      <c r="I41">
        <v>3.66</v>
      </c>
      <c r="K41" s="9">
        <v>1</v>
      </c>
      <c r="M41">
        <f t="shared" si="5"/>
        <v>55</v>
      </c>
      <c r="N41" s="3">
        <f>N40-(J41+K41+L41)*$I$4</f>
        <v>214.91280000000009</v>
      </c>
      <c r="O41" s="8">
        <f t="shared" si="4"/>
        <v>-3.6581999999999937</v>
      </c>
    </row>
    <row r="42" spans="1:19">
      <c r="A42" s="7">
        <v>43077</v>
      </c>
      <c r="G42" s="39" t="s">
        <v>108</v>
      </c>
      <c r="I42">
        <v>3.66</v>
      </c>
      <c r="L42" s="9">
        <v>1</v>
      </c>
      <c r="M42">
        <f t="shared" si="5"/>
        <v>54</v>
      </c>
      <c r="N42" s="3">
        <f t="shared" ref="N42:N61" si="7">N41-(J42+K42+L42)*$I$42</f>
        <v>211.25280000000009</v>
      </c>
      <c r="O42" s="8">
        <f t="shared" si="4"/>
        <v>-3.6599999999999966</v>
      </c>
      <c r="P42" t="s">
        <v>37</v>
      </c>
    </row>
    <row r="43" spans="1:19">
      <c r="A43" s="17">
        <v>43112</v>
      </c>
      <c r="G43" s="39" t="s">
        <v>108</v>
      </c>
      <c r="I43">
        <v>3.66</v>
      </c>
      <c r="J43" s="18">
        <v>1</v>
      </c>
      <c r="L43" s="15"/>
      <c r="M43">
        <f t="shared" si="5"/>
        <v>53</v>
      </c>
      <c r="N43" s="3">
        <f t="shared" si="7"/>
        <v>207.5928000000001</v>
      </c>
      <c r="O43" s="8">
        <f t="shared" si="4"/>
        <v>-3.6599999999999966</v>
      </c>
    </row>
    <row r="44" spans="1:19">
      <c r="A44" s="19">
        <v>43140</v>
      </c>
      <c r="G44" s="39" t="s">
        <v>108</v>
      </c>
      <c r="I44">
        <v>3.66</v>
      </c>
      <c r="J44" s="21"/>
      <c r="K44" s="9">
        <v>1</v>
      </c>
      <c r="L44" s="15"/>
      <c r="M44">
        <f>M43-(J44+K44+L44)</f>
        <v>52</v>
      </c>
      <c r="N44" s="3">
        <f t="shared" si="7"/>
        <v>203.9328000000001</v>
      </c>
      <c r="O44" s="8">
        <f>N44-N43</f>
        <v>-3.6599999999999966</v>
      </c>
    </row>
    <row r="45" spans="1:19">
      <c r="A45" s="19">
        <v>43163</v>
      </c>
      <c r="G45" s="39" t="s">
        <v>108</v>
      </c>
      <c r="I45">
        <v>3.66</v>
      </c>
      <c r="J45" s="22"/>
      <c r="K45" s="9">
        <v>1</v>
      </c>
      <c r="L45" s="15"/>
      <c r="M45">
        <f>M44-(J45+K45+L45)</f>
        <v>51</v>
      </c>
      <c r="N45" s="3">
        <f t="shared" si="7"/>
        <v>200.2728000000001</v>
      </c>
      <c r="O45" s="8">
        <f>N45-N44</f>
        <v>-3.6599999999999966</v>
      </c>
      <c r="Q45" s="4" t="s">
        <v>38</v>
      </c>
      <c r="R45" s="4" t="s">
        <v>39</v>
      </c>
      <c r="S45" s="4" t="s">
        <v>40</v>
      </c>
    </row>
    <row r="46" spans="1:19">
      <c r="A46" s="19">
        <v>43164</v>
      </c>
      <c r="G46" s="23" t="s">
        <v>41</v>
      </c>
      <c r="I46">
        <v>3.66</v>
      </c>
      <c r="J46" s="24">
        <v>1</v>
      </c>
      <c r="K46" s="4"/>
      <c r="M46">
        <f t="shared" si="5"/>
        <v>50</v>
      </c>
      <c r="N46" s="3">
        <f t="shared" si="7"/>
        <v>196.61280000000011</v>
      </c>
      <c r="O46" s="8">
        <f t="shared" si="4"/>
        <v>-3.6599999999999966</v>
      </c>
      <c r="Q46">
        <v>19</v>
      </c>
      <c r="R46">
        <f>M46-Q46</f>
        <v>31</v>
      </c>
      <c r="S46" s="3">
        <f>R46*$I$4</f>
        <v>113.4042</v>
      </c>
    </row>
    <row r="47" spans="1:19">
      <c r="A47" s="19">
        <v>43225</v>
      </c>
      <c r="G47" s="23" t="s">
        <v>22</v>
      </c>
      <c r="I47" s="15">
        <v>3.7326000000000001</v>
      </c>
      <c r="J47" s="24">
        <v>2</v>
      </c>
      <c r="K47" s="4"/>
      <c r="L47">
        <v>0</v>
      </c>
      <c r="M47">
        <f t="shared" si="5"/>
        <v>48</v>
      </c>
      <c r="N47" s="3">
        <f t="shared" si="7"/>
        <v>189.29280000000011</v>
      </c>
      <c r="O47" s="8">
        <f t="shared" si="4"/>
        <v>-7.3199999999999932</v>
      </c>
      <c r="R47" s="3"/>
    </row>
    <row r="48" spans="1:19">
      <c r="A48" s="19">
        <v>43264</v>
      </c>
      <c r="G48" s="23" t="s">
        <v>24</v>
      </c>
      <c r="I48" s="15">
        <v>3.7326000000000001</v>
      </c>
      <c r="J48" s="24">
        <v>1</v>
      </c>
      <c r="K48" s="4"/>
      <c r="L48">
        <v>-1</v>
      </c>
      <c r="M48">
        <f t="shared" si="5"/>
        <v>48</v>
      </c>
      <c r="N48" s="3">
        <f t="shared" si="7"/>
        <v>189.29280000000011</v>
      </c>
      <c r="O48" s="8">
        <f t="shared" si="4"/>
        <v>0</v>
      </c>
      <c r="R48" s="3"/>
    </row>
    <row r="49" spans="1:19">
      <c r="A49" s="19">
        <v>43276</v>
      </c>
      <c r="G49" s="39" t="s">
        <v>108</v>
      </c>
      <c r="I49" s="15">
        <v>3.7326000000000001</v>
      </c>
      <c r="J49" s="26"/>
      <c r="K49" s="27">
        <v>1</v>
      </c>
      <c r="M49">
        <f t="shared" si="5"/>
        <v>47</v>
      </c>
      <c r="N49" s="3">
        <f t="shared" si="7"/>
        <v>185.63280000000012</v>
      </c>
      <c r="O49" s="8">
        <f t="shared" si="4"/>
        <v>-3.6599999999999966</v>
      </c>
      <c r="R49" s="3"/>
    </row>
    <row r="50" spans="1:19">
      <c r="A50" s="19">
        <v>43283</v>
      </c>
      <c r="G50" s="39" t="s">
        <v>108</v>
      </c>
      <c r="I50" s="15">
        <v>3.7326000000000001</v>
      </c>
      <c r="J50" s="26"/>
      <c r="K50" s="27">
        <v>1</v>
      </c>
      <c r="M50">
        <f t="shared" si="5"/>
        <v>46</v>
      </c>
      <c r="N50" s="3">
        <f t="shared" si="7"/>
        <v>181.97280000000012</v>
      </c>
      <c r="O50" s="8">
        <f t="shared" si="4"/>
        <v>-3.6599999999999966</v>
      </c>
      <c r="R50" s="3"/>
    </row>
    <row r="51" spans="1:19">
      <c r="A51" s="19">
        <v>43288</v>
      </c>
      <c r="G51" s="25" t="s">
        <v>42</v>
      </c>
      <c r="I51" s="15">
        <v>3.7326000000000001</v>
      </c>
      <c r="J51" s="24">
        <v>1</v>
      </c>
      <c r="K51" s="4">
        <v>0</v>
      </c>
      <c r="M51">
        <f t="shared" si="5"/>
        <v>45</v>
      </c>
      <c r="N51" s="3">
        <f t="shared" si="7"/>
        <v>178.31280000000012</v>
      </c>
      <c r="O51" s="8">
        <f t="shared" si="4"/>
        <v>-3.6599999999999966</v>
      </c>
      <c r="R51" s="3"/>
    </row>
    <row r="52" spans="1:19">
      <c r="A52" s="19">
        <v>43291</v>
      </c>
      <c r="G52" s="25" t="s">
        <v>43</v>
      </c>
      <c r="I52" s="15">
        <v>3.7326000000000001</v>
      </c>
      <c r="J52" s="26"/>
      <c r="K52" s="4"/>
      <c r="L52">
        <v>1</v>
      </c>
      <c r="M52">
        <f t="shared" si="5"/>
        <v>44</v>
      </c>
      <c r="N52" s="3">
        <f t="shared" si="7"/>
        <v>174.65280000000013</v>
      </c>
      <c r="O52" s="8">
        <f t="shared" si="4"/>
        <v>-3.6599999999999966</v>
      </c>
      <c r="R52" s="3"/>
    </row>
    <row r="53" spans="1:19">
      <c r="A53" s="19">
        <v>43336</v>
      </c>
      <c r="G53" s="39" t="s">
        <v>108</v>
      </c>
      <c r="I53" s="15">
        <v>3.7326000000000001</v>
      </c>
      <c r="J53" s="26"/>
      <c r="K53" s="27">
        <v>1</v>
      </c>
      <c r="M53">
        <f t="shared" si="5"/>
        <v>43</v>
      </c>
      <c r="N53" s="3">
        <f t="shared" si="7"/>
        <v>170.99280000000013</v>
      </c>
      <c r="O53" s="8">
        <f t="shared" si="4"/>
        <v>-3.6599999999999966</v>
      </c>
      <c r="R53" s="3"/>
    </row>
    <row r="54" spans="1:19">
      <c r="A54" s="7">
        <v>43365</v>
      </c>
      <c r="G54" s="25" t="s">
        <v>44</v>
      </c>
      <c r="I54" s="15">
        <v>3.7326000000000001</v>
      </c>
      <c r="J54" s="9">
        <v>6</v>
      </c>
      <c r="K54" s="27"/>
      <c r="M54">
        <f t="shared" si="5"/>
        <v>37</v>
      </c>
      <c r="N54" s="3">
        <f t="shared" si="7"/>
        <v>149.03280000000012</v>
      </c>
      <c r="O54" s="8">
        <f t="shared" si="4"/>
        <v>-21.960000000000008</v>
      </c>
      <c r="R54" s="3"/>
    </row>
    <row r="55" spans="1:19">
      <c r="A55" s="7">
        <v>43392</v>
      </c>
      <c r="G55" s="25" t="s">
        <v>45</v>
      </c>
      <c r="I55" s="15">
        <v>3.7326000000000001</v>
      </c>
      <c r="K55" s="27">
        <v>3</v>
      </c>
      <c r="M55">
        <f t="shared" si="5"/>
        <v>34</v>
      </c>
      <c r="N55" s="3">
        <f t="shared" si="7"/>
        <v>138.05280000000013</v>
      </c>
      <c r="O55" s="8">
        <f t="shared" si="4"/>
        <v>-10.97999999999999</v>
      </c>
      <c r="R55" s="3"/>
    </row>
    <row r="56" spans="1:19">
      <c r="A56" s="7">
        <v>43400</v>
      </c>
      <c r="G56" s="25" t="s">
        <v>26</v>
      </c>
      <c r="I56" s="15">
        <v>3.7326000000000001</v>
      </c>
      <c r="J56" s="9">
        <v>3</v>
      </c>
      <c r="K56" s="27"/>
      <c r="L56" s="9">
        <v>-1</v>
      </c>
      <c r="M56">
        <f t="shared" si="5"/>
        <v>32</v>
      </c>
      <c r="N56" s="3">
        <f t="shared" si="7"/>
        <v>130.73280000000014</v>
      </c>
      <c r="O56" s="8">
        <f t="shared" si="4"/>
        <v>-7.3199999999999932</v>
      </c>
      <c r="R56" s="3"/>
    </row>
    <row r="57" spans="1:19">
      <c r="A57" s="7">
        <v>43406</v>
      </c>
      <c r="G57" s="25" t="s">
        <v>46</v>
      </c>
      <c r="I57" s="15">
        <v>3.7326000000000001</v>
      </c>
      <c r="J57" s="9">
        <v>3</v>
      </c>
      <c r="K57" s="27"/>
      <c r="M57">
        <f t="shared" si="5"/>
        <v>29</v>
      </c>
      <c r="N57" s="3">
        <f t="shared" si="7"/>
        <v>119.75280000000014</v>
      </c>
      <c r="O57" s="8">
        <f t="shared" si="4"/>
        <v>-10.980000000000004</v>
      </c>
      <c r="R57" s="3"/>
    </row>
    <row r="58" spans="1:19">
      <c r="A58" s="7">
        <v>43407</v>
      </c>
      <c r="G58" s="25" t="s">
        <v>35</v>
      </c>
      <c r="I58" s="15">
        <v>3.7326000000000001</v>
      </c>
      <c r="J58" s="9">
        <v>2</v>
      </c>
      <c r="K58" s="27"/>
      <c r="M58">
        <f t="shared" si="5"/>
        <v>27</v>
      </c>
      <c r="N58" s="3">
        <f t="shared" si="7"/>
        <v>112.43280000000013</v>
      </c>
      <c r="O58" s="8">
        <f t="shared" si="4"/>
        <v>-7.3200000000000074</v>
      </c>
      <c r="R58" s="3"/>
    </row>
    <row r="59" spans="1:19">
      <c r="A59" s="7">
        <v>43428</v>
      </c>
      <c r="G59" s="25" t="s">
        <v>36</v>
      </c>
      <c r="I59" s="15">
        <v>3.7326000000000001</v>
      </c>
      <c r="J59" s="9">
        <v>4</v>
      </c>
      <c r="K59" s="27"/>
      <c r="M59">
        <f t="shared" si="5"/>
        <v>23</v>
      </c>
      <c r="N59" s="3">
        <f t="shared" si="7"/>
        <v>97.792800000000128</v>
      </c>
      <c r="O59" s="8">
        <f t="shared" si="4"/>
        <v>-14.64</v>
      </c>
      <c r="Q59" s="4" t="s">
        <v>38</v>
      </c>
      <c r="R59" s="4" t="s">
        <v>39</v>
      </c>
      <c r="S59" s="4" t="s">
        <v>40</v>
      </c>
    </row>
    <row r="60" spans="1:19">
      <c r="A60" s="7">
        <v>43447</v>
      </c>
      <c r="G60" s="39" t="s">
        <v>108</v>
      </c>
      <c r="I60" s="15">
        <v>3.7326000000000001</v>
      </c>
      <c r="J60" s="9">
        <v>1</v>
      </c>
      <c r="K60" s="27"/>
      <c r="M60">
        <f t="shared" si="5"/>
        <v>22</v>
      </c>
      <c r="N60" s="3">
        <f t="shared" si="7"/>
        <v>94.132800000000131</v>
      </c>
      <c r="O60" s="8">
        <f t="shared" si="4"/>
        <v>-3.6599999999999966</v>
      </c>
      <c r="Q60">
        <v>17</v>
      </c>
      <c r="R60">
        <f>M61-Q60</f>
        <v>4</v>
      </c>
      <c r="S60" s="3">
        <f>R60*$I$4</f>
        <v>14.6328</v>
      </c>
    </row>
    <row r="61" spans="1:19">
      <c r="A61" s="7">
        <v>43447</v>
      </c>
      <c r="G61" s="39" t="s">
        <v>108</v>
      </c>
      <c r="I61" s="15">
        <v>3.7326000000000001</v>
      </c>
      <c r="J61" s="9">
        <v>0</v>
      </c>
      <c r="K61" s="27">
        <v>1</v>
      </c>
      <c r="M61">
        <f t="shared" si="5"/>
        <v>21</v>
      </c>
      <c r="N61" s="3">
        <f t="shared" si="7"/>
        <v>90.472800000000134</v>
      </c>
      <c r="O61" s="8">
        <f t="shared" si="4"/>
        <v>-3.6599999999999966</v>
      </c>
      <c r="P61" t="s">
        <v>47</v>
      </c>
      <c r="Q61" s="28" t="s">
        <v>48</v>
      </c>
      <c r="R61" s="29">
        <f>-N61+N42</f>
        <v>120.77999999999996</v>
      </c>
    </row>
    <row r="62" spans="1:19">
      <c r="A62" s="7">
        <v>43505</v>
      </c>
      <c r="G62" s="25" t="s">
        <v>26</v>
      </c>
      <c r="I62" s="15">
        <v>3.7326000000000001</v>
      </c>
      <c r="J62" s="9">
        <v>1</v>
      </c>
      <c r="K62" s="27"/>
      <c r="L62">
        <v>-1</v>
      </c>
      <c r="M62">
        <f>M61-(J62+K62+L62)</f>
        <v>21</v>
      </c>
      <c r="N62" s="3">
        <f>N61-(J62+K62+L62)*$I$42</f>
        <v>90.472800000000134</v>
      </c>
      <c r="O62" s="8">
        <f t="shared" si="4"/>
        <v>0</v>
      </c>
      <c r="Q62" t="s">
        <v>49</v>
      </c>
      <c r="R62" s="28">
        <v>131.97720000000015</v>
      </c>
      <c r="S62" s="28" t="s">
        <v>50</v>
      </c>
    </row>
    <row r="63" spans="1:19">
      <c r="A63" s="7">
        <v>43526</v>
      </c>
      <c r="G63" s="39" t="s">
        <v>108</v>
      </c>
      <c r="I63" s="15">
        <v>3.7326000000000001</v>
      </c>
      <c r="K63" s="27"/>
      <c r="L63" s="9">
        <v>-1</v>
      </c>
      <c r="M63">
        <f>M62-(J63+K63+L63)</f>
        <v>22</v>
      </c>
      <c r="N63" s="3">
        <f>N62-(J63+K63+L63)*$I$42</f>
        <v>94.132800000000131</v>
      </c>
      <c r="O63" s="8">
        <f t="shared" si="4"/>
        <v>3.6599999999999966</v>
      </c>
      <c r="Q63" s="28"/>
      <c r="R63" s="29"/>
    </row>
    <row r="64" spans="1:19">
      <c r="A64" s="7">
        <v>43526</v>
      </c>
      <c r="G64" s="25" t="s">
        <v>24</v>
      </c>
      <c r="I64" s="15">
        <v>3.7326000000000001</v>
      </c>
      <c r="K64" s="27"/>
      <c r="L64" s="9">
        <v>-4</v>
      </c>
      <c r="M64">
        <f>M63-(J64+K64+L64)</f>
        <v>26</v>
      </c>
      <c r="N64" s="3">
        <f>N63-(J64+K64+L64)*$I$42</f>
        <v>108.77280000000013</v>
      </c>
      <c r="O64" s="8">
        <f t="shared" si="4"/>
        <v>14.64</v>
      </c>
      <c r="Q64" s="28"/>
      <c r="R64" s="29"/>
    </row>
    <row r="65" spans="1:18">
      <c r="A65" s="7">
        <v>43526</v>
      </c>
      <c r="G65" s="25" t="s">
        <v>51</v>
      </c>
      <c r="I65" s="15">
        <v>3.7326000000000001</v>
      </c>
      <c r="J65" s="9">
        <v>19</v>
      </c>
      <c r="K65" s="27"/>
      <c r="L65" s="9">
        <v>0</v>
      </c>
      <c r="M65">
        <f>M64-(J65+K65+L65)</f>
        <v>7</v>
      </c>
      <c r="N65" s="3">
        <f>N64-(J65+K65+L65)*$I$42</f>
        <v>39.232800000000125</v>
      </c>
      <c r="O65" s="8">
        <f t="shared" si="4"/>
        <v>-69.540000000000006</v>
      </c>
      <c r="Q65" s="28"/>
      <c r="R65" s="29"/>
    </row>
    <row r="66" spans="1:18">
      <c r="A66" s="7">
        <v>43531</v>
      </c>
      <c r="B66">
        <v>50</v>
      </c>
      <c r="C66" s="3">
        <v>3.07</v>
      </c>
      <c r="D66" s="3">
        <v>23</v>
      </c>
      <c r="E66" s="3">
        <v>9.5</v>
      </c>
      <c r="F66" s="3">
        <f>B66*C66+D66+E66</f>
        <v>186</v>
      </c>
      <c r="G66" t="s">
        <v>52</v>
      </c>
      <c r="I66">
        <f>F66/B66</f>
        <v>3.72</v>
      </c>
      <c r="M66">
        <f>M65+B66</f>
        <v>57</v>
      </c>
      <c r="N66" s="3">
        <f>N65+F66</f>
        <v>225.23280000000011</v>
      </c>
      <c r="O66" s="8">
        <f t="shared" si="4"/>
        <v>186</v>
      </c>
      <c r="Q66" s="28"/>
      <c r="R66" s="29"/>
    </row>
    <row r="67" spans="1:18">
      <c r="A67" s="7">
        <v>43546</v>
      </c>
      <c r="C67" s="3"/>
      <c r="D67" s="3"/>
      <c r="E67" s="3"/>
      <c r="F67" s="3"/>
      <c r="G67" s="25" t="s">
        <v>26</v>
      </c>
      <c r="I67" s="15">
        <v>3.7326000000000001</v>
      </c>
      <c r="J67" s="9">
        <v>1</v>
      </c>
      <c r="L67" s="9">
        <v>-1</v>
      </c>
      <c r="M67">
        <f>M66+J67+K67+L67</f>
        <v>57</v>
      </c>
      <c r="N67" s="3">
        <f>N66+F67</f>
        <v>225.23280000000011</v>
      </c>
      <c r="O67" s="8">
        <f t="shared" si="4"/>
        <v>0</v>
      </c>
      <c r="Q67" s="28"/>
      <c r="R67" s="29"/>
    </row>
    <row r="68" spans="1:18">
      <c r="A68" s="7">
        <v>43562</v>
      </c>
      <c r="C68" s="3"/>
      <c r="D68" s="3"/>
      <c r="E68" s="3"/>
      <c r="F68" s="3"/>
      <c r="G68" s="25" t="s">
        <v>53</v>
      </c>
      <c r="I68" s="15">
        <v>3.7326000000000001</v>
      </c>
      <c r="J68" s="9">
        <v>5</v>
      </c>
      <c r="L68" s="9"/>
      <c r="M68">
        <f t="shared" ref="M68:M81" si="8">M67-(J68+K68+L68)</f>
        <v>52</v>
      </c>
      <c r="N68" s="3">
        <f>N67-(J68+K68+L68)*$I$68</f>
        <v>206.5698000000001</v>
      </c>
      <c r="O68" s="8">
        <f t="shared" si="4"/>
        <v>-18.663000000000011</v>
      </c>
      <c r="Q68" s="28"/>
      <c r="R68" s="29"/>
    </row>
    <row r="69" spans="1:18">
      <c r="A69" s="7">
        <v>43575</v>
      </c>
      <c r="C69" s="3"/>
      <c r="D69" s="3"/>
      <c r="E69" s="3"/>
      <c r="F69" s="3"/>
      <c r="G69" s="25" t="s">
        <v>54</v>
      </c>
      <c r="I69">
        <v>3.72</v>
      </c>
      <c r="J69" s="9">
        <v>9</v>
      </c>
      <c r="L69" s="9"/>
      <c r="M69">
        <f t="shared" si="8"/>
        <v>43</v>
      </c>
      <c r="N69" s="3">
        <f>N68-(J69+K69+L69)*$I$66-2*(0.0126)</f>
        <v>173.06460000000007</v>
      </c>
      <c r="O69" s="8">
        <f t="shared" si="4"/>
        <v>-33.505200000000031</v>
      </c>
      <c r="Q69" s="28"/>
      <c r="R69" s="29"/>
    </row>
    <row r="70" spans="1:18">
      <c r="A70" s="7">
        <v>43588</v>
      </c>
      <c r="C70" s="3"/>
      <c r="D70" s="3"/>
      <c r="E70" s="3"/>
      <c r="F70" s="3"/>
      <c r="G70" s="39" t="s">
        <v>108</v>
      </c>
      <c r="I70">
        <v>3.72</v>
      </c>
      <c r="J70" s="9">
        <v>1</v>
      </c>
      <c r="L70" s="9">
        <v>-1</v>
      </c>
      <c r="M70">
        <f t="shared" si="8"/>
        <v>43</v>
      </c>
      <c r="N70" s="3">
        <f t="shared" ref="N70:N77" si="9">N69-(J70+K70+L70)*$I$66</f>
        <v>173.06460000000007</v>
      </c>
      <c r="O70" s="8">
        <f t="shared" si="4"/>
        <v>0</v>
      </c>
      <c r="Q70" s="28"/>
      <c r="R70" s="29"/>
    </row>
    <row r="71" spans="1:18">
      <c r="A71" s="7">
        <v>43604</v>
      </c>
      <c r="C71" s="3"/>
      <c r="D71" s="3"/>
      <c r="E71" s="3"/>
      <c r="F71" s="3"/>
      <c r="G71" s="25" t="s">
        <v>55</v>
      </c>
      <c r="I71">
        <v>3.72</v>
      </c>
      <c r="J71" s="9">
        <v>2</v>
      </c>
      <c r="L71" s="9"/>
      <c r="M71">
        <f t="shared" si="8"/>
        <v>41</v>
      </c>
      <c r="N71" s="3">
        <f t="shared" si="9"/>
        <v>165.62460000000007</v>
      </c>
      <c r="O71" s="8">
        <f t="shared" si="4"/>
        <v>-7.4399999999999977</v>
      </c>
      <c r="Q71" s="28"/>
      <c r="R71" s="29"/>
    </row>
    <row r="72" spans="1:18">
      <c r="A72" s="7">
        <v>43625</v>
      </c>
      <c r="C72" s="3"/>
      <c r="D72" s="3"/>
      <c r="E72" s="3"/>
      <c r="F72" s="3"/>
      <c r="G72" s="25" t="s">
        <v>56</v>
      </c>
      <c r="I72">
        <v>3.72</v>
      </c>
      <c r="J72" s="9">
        <v>5</v>
      </c>
      <c r="L72" s="9"/>
      <c r="M72">
        <f t="shared" si="8"/>
        <v>36</v>
      </c>
      <c r="N72" s="3">
        <f t="shared" si="9"/>
        <v>147.02460000000008</v>
      </c>
      <c r="O72" s="8">
        <f t="shared" si="4"/>
        <v>-18.599999999999994</v>
      </c>
      <c r="Q72" s="28"/>
      <c r="R72" s="29"/>
    </row>
    <row r="73" spans="1:18">
      <c r="A73" s="7">
        <v>43645</v>
      </c>
      <c r="C73" s="3"/>
      <c r="D73" s="3"/>
      <c r="E73" s="3"/>
      <c r="F73" s="3"/>
      <c r="G73" s="25" t="s">
        <v>57</v>
      </c>
      <c r="I73">
        <v>3.72</v>
      </c>
      <c r="J73" s="9">
        <v>1</v>
      </c>
      <c r="L73" s="9"/>
      <c r="M73">
        <f t="shared" si="8"/>
        <v>35</v>
      </c>
      <c r="N73" s="3">
        <f t="shared" si="9"/>
        <v>143.30460000000008</v>
      </c>
      <c r="O73" s="8">
        <f t="shared" si="4"/>
        <v>-3.7199999999999989</v>
      </c>
      <c r="Q73" s="28"/>
      <c r="R73" s="29"/>
    </row>
    <row r="74" spans="1:18">
      <c r="A74" s="7">
        <v>43646</v>
      </c>
      <c r="C74" s="3"/>
      <c r="D74" s="3"/>
      <c r="E74" s="3"/>
      <c r="F74" s="3"/>
      <c r="G74" s="25" t="s">
        <v>45</v>
      </c>
      <c r="I74">
        <v>3.7323</v>
      </c>
      <c r="J74" s="9"/>
      <c r="K74">
        <v>1</v>
      </c>
      <c r="L74" s="9"/>
      <c r="M74">
        <f t="shared" si="8"/>
        <v>34</v>
      </c>
      <c r="N74" s="3">
        <f>N73-(J74+K74+L74)*$I$66</f>
        <v>139.58460000000008</v>
      </c>
      <c r="O74" s="8">
        <f>N74-N73</f>
        <v>-3.7199999999999989</v>
      </c>
      <c r="Q74" s="28"/>
      <c r="R74" s="29"/>
    </row>
    <row r="75" spans="1:18">
      <c r="A75" s="7">
        <v>43665</v>
      </c>
      <c r="C75" s="3"/>
      <c r="D75" s="3"/>
      <c r="E75" s="3"/>
      <c r="F75" s="3"/>
      <c r="G75" s="25" t="s">
        <v>26</v>
      </c>
      <c r="I75">
        <v>3.72</v>
      </c>
      <c r="J75" s="9">
        <v>1</v>
      </c>
      <c r="L75" s="9"/>
      <c r="M75">
        <f t="shared" si="8"/>
        <v>33</v>
      </c>
      <c r="N75" s="3">
        <f>N74-(J75+K75+L75)*$I$66</f>
        <v>135.86460000000008</v>
      </c>
      <c r="O75" s="8">
        <f>N75-N74</f>
        <v>-3.7199999999999989</v>
      </c>
      <c r="Q75" s="28"/>
      <c r="R75" s="29"/>
    </row>
    <row r="76" spans="1:18">
      <c r="A76" s="7">
        <v>43688</v>
      </c>
      <c r="C76" s="3"/>
      <c r="D76" s="3"/>
      <c r="E76" s="3"/>
      <c r="F76" s="3"/>
      <c r="G76" s="25" t="s">
        <v>58</v>
      </c>
      <c r="I76">
        <v>3.72</v>
      </c>
      <c r="K76">
        <v>2</v>
      </c>
      <c r="M76">
        <f t="shared" si="8"/>
        <v>31</v>
      </c>
      <c r="N76" s="3">
        <f t="shared" si="9"/>
        <v>128.42460000000008</v>
      </c>
      <c r="O76" s="8">
        <f t="shared" si="4"/>
        <v>-7.4399999999999977</v>
      </c>
    </row>
    <row r="77" spans="1:18">
      <c r="A77" s="30">
        <v>43723</v>
      </c>
      <c r="B77" s="20"/>
      <c r="C77" s="3"/>
      <c r="D77" s="3"/>
      <c r="E77" s="3"/>
      <c r="F77" s="3"/>
      <c r="G77" s="39" t="s">
        <v>108</v>
      </c>
      <c r="H77" s="20"/>
      <c r="I77">
        <v>3.72</v>
      </c>
      <c r="K77">
        <v>1</v>
      </c>
      <c r="M77">
        <f t="shared" si="8"/>
        <v>30</v>
      </c>
      <c r="N77" s="3">
        <f t="shared" si="9"/>
        <v>124.70460000000008</v>
      </c>
      <c r="O77" s="8">
        <f t="shared" si="4"/>
        <v>-3.7199999999999989</v>
      </c>
    </row>
    <row r="78" spans="1:18">
      <c r="A78" s="31">
        <v>43729</v>
      </c>
      <c r="B78" s="26"/>
      <c r="C78" s="3"/>
      <c r="D78" s="3"/>
      <c r="E78" s="3"/>
      <c r="F78" s="3"/>
      <c r="G78" s="25" t="s">
        <v>22</v>
      </c>
      <c r="H78" s="26"/>
      <c r="I78">
        <v>3.72</v>
      </c>
      <c r="J78" s="9">
        <v>2</v>
      </c>
      <c r="M78">
        <f t="shared" si="8"/>
        <v>28</v>
      </c>
      <c r="N78" s="3">
        <f>N77-(J78+K78+L78)*$I$66</f>
        <v>117.26460000000009</v>
      </c>
      <c r="O78" s="8">
        <f t="shared" si="4"/>
        <v>-7.4399999999999977</v>
      </c>
    </row>
    <row r="79" spans="1:18">
      <c r="A79" s="31">
        <v>43742</v>
      </c>
      <c r="B79" s="26"/>
      <c r="C79" s="3"/>
      <c r="D79" s="3"/>
      <c r="E79" s="3"/>
      <c r="F79" s="3"/>
      <c r="G79" s="25" t="s">
        <v>59</v>
      </c>
      <c r="H79" s="26"/>
      <c r="I79">
        <v>3.72</v>
      </c>
      <c r="J79" s="9">
        <v>5</v>
      </c>
      <c r="M79">
        <f t="shared" si="8"/>
        <v>23</v>
      </c>
      <c r="N79" s="3">
        <f>N78-(J79+K79+L79)*$I$66</f>
        <v>98.664600000000092</v>
      </c>
      <c r="O79" s="8">
        <f t="shared" si="4"/>
        <v>-18.599999999999994</v>
      </c>
    </row>
    <row r="80" spans="1:18">
      <c r="A80" s="31">
        <v>43757</v>
      </c>
      <c r="B80" s="26"/>
      <c r="C80" s="3"/>
      <c r="D80" s="3"/>
      <c r="E80" s="3"/>
      <c r="F80" s="3"/>
      <c r="G80" s="25" t="s">
        <v>54</v>
      </c>
      <c r="H80" s="26"/>
      <c r="I80">
        <v>3.72</v>
      </c>
      <c r="J80" s="9">
        <v>4</v>
      </c>
      <c r="K80">
        <v>1</v>
      </c>
      <c r="M80">
        <f t="shared" si="8"/>
        <v>18</v>
      </c>
      <c r="N80" s="3">
        <f>N79-(J80+K80+L80)*$I$66</f>
        <v>80.064600000000098</v>
      </c>
      <c r="O80" s="8">
        <f t="shared" ref="O80:O106" si="10">N80-N79</f>
        <v>-18.599999999999994</v>
      </c>
    </row>
    <row r="81" spans="1:18">
      <c r="A81" s="31">
        <v>43784</v>
      </c>
      <c r="B81" s="26"/>
      <c r="C81" s="3"/>
      <c r="D81" s="3"/>
      <c r="E81" s="3"/>
      <c r="F81" s="3"/>
      <c r="G81" s="25" t="s">
        <v>60</v>
      </c>
      <c r="H81" s="26"/>
      <c r="I81">
        <v>3.72</v>
      </c>
      <c r="J81" s="9">
        <v>2</v>
      </c>
      <c r="M81">
        <f t="shared" si="8"/>
        <v>16</v>
      </c>
      <c r="N81" s="3">
        <f>N80-(J81+K81+L81)*$I$66</f>
        <v>72.6246000000001</v>
      </c>
      <c r="O81" s="8">
        <f t="shared" si="10"/>
        <v>-7.4399999999999977</v>
      </c>
    </row>
    <row r="82" spans="1:18">
      <c r="A82" s="31">
        <v>43790</v>
      </c>
      <c r="B82" s="26">
        <v>30</v>
      </c>
      <c r="C82" s="3">
        <v>3.07</v>
      </c>
      <c r="D82" s="3">
        <v>39.99</v>
      </c>
      <c r="E82" s="3">
        <v>5.7</v>
      </c>
      <c r="F82" s="3">
        <f>B82*C82+D82+E82-51.35</f>
        <v>86.44</v>
      </c>
      <c r="G82" s="25" t="s">
        <v>61</v>
      </c>
      <c r="H82" s="26"/>
      <c r="I82" s="32">
        <f>F82/B82</f>
        <v>2.8813333333333331</v>
      </c>
      <c r="J82" s="9"/>
      <c r="M82">
        <f>M81+B82</f>
        <v>46</v>
      </c>
      <c r="N82" s="3">
        <f>N81+F82</f>
        <v>159.0646000000001</v>
      </c>
      <c r="O82" s="8">
        <f t="shared" si="10"/>
        <v>86.44</v>
      </c>
      <c r="Q82" t="s">
        <v>62</v>
      </c>
    </row>
    <row r="83" spans="1:18">
      <c r="A83" s="31">
        <v>43799</v>
      </c>
      <c r="B83" s="26"/>
      <c r="C83" s="3"/>
      <c r="D83" s="3"/>
      <c r="E83" s="3"/>
      <c r="F83" s="3"/>
      <c r="G83" s="25" t="s">
        <v>36</v>
      </c>
      <c r="H83" s="26"/>
      <c r="I83">
        <v>3.72</v>
      </c>
      <c r="J83" s="9">
        <v>5</v>
      </c>
      <c r="M83">
        <f t="shared" ref="M83:M91" si="11">M82-(J83+K83+L83)</f>
        <v>41</v>
      </c>
      <c r="N83" s="3">
        <f t="shared" ref="N83:N91" si="12">N82-(J83+K83+L83)*$I$66</f>
        <v>140.4646000000001</v>
      </c>
      <c r="O83" s="8">
        <f t="shared" si="10"/>
        <v>-18.599999999999994</v>
      </c>
      <c r="P83" t="s">
        <v>63</v>
      </c>
      <c r="Q83" t="s">
        <v>49</v>
      </c>
      <c r="R83">
        <v>222.45</v>
      </c>
    </row>
    <row r="84" spans="1:18">
      <c r="A84" s="31">
        <v>43871</v>
      </c>
      <c r="B84" s="26"/>
      <c r="C84" s="3"/>
      <c r="D84" s="3"/>
      <c r="E84" s="3"/>
      <c r="F84" s="3"/>
      <c r="G84" s="39" t="s">
        <v>108</v>
      </c>
      <c r="H84" s="26"/>
      <c r="I84">
        <v>3.72</v>
      </c>
      <c r="J84" s="33"/>
      <c r="K84" s="9">
        <v>1</v>
      </c>
      <c r="M84">
        <f t="shared" si="11"/>
        <v>40</v>
      </c>
      <c r="N84" s="3">
        <f t="shared" si="12"/>
        <v>136.7446000000001</v>
      </c>
      <c r="O84" s="8">
        <f t="shared" si="10"/>
        <v>-3.7199999999999989</v>
      </c>
    </row>
    <row r="85" spans="1:18">
      <c r="A85" s="31">
        <v>43894</v>
      </c>
      <c r="B85" s="26"/>
      <c r="C85" s="3"/>
      <c r="D85" s="3"/>
      <c r="E85" s="3"/>
      <c r="F85" s="3"/>
      <c r="G85" s="39" t="s">
        <v>108</v>
      </c>
      <c r="H85" s="26"/>
      <c r="I85">
        <v>3.72</v>
      </c>
      <c r="J85" s="33"/>
      <c r="K85" s="9">
        <v>1</v>
      </c>
      <c r="M85">
        <f t="shared" si="11"/>
        <v>39</v>
      </c>
      <c r="N85" s="3">
        <f t="shared" si="12"/>
        <v>133.02460000000011</v>
      </c>
      <c r="O85" s="8">
        <f t="shared" si="10"/>
        <v>-3.7199999999999989</v>
      </c>
    </row>
    <row r="86" spans="1:18">
      <c r="A86" s="31">
        <v>43897</v>
      </c>
      <c r="B86" s="26"/>
      <c r="C86" s="3"/>
      <c r="D86" s="3"/>
      <c r="E86" s="3"/>
      <c r="F86" s="3"/>
      <c r="G86" s="25" t="s">
        <v>51</v>
      </c>
      <c r="H86" s="26"/>
      <c r="I86">
        <v>3.72</v>
      </c>
      <c r="J86" s="9">
        <v>4</v>
      </c>
      <c r="M86">
        <f t="shared" si="11"/>
        <v>35</v>
      </c>
      <c r="N86" s="3">
        <f t="shared" si="12"/>
        <v>118.14460000000011</v>
      </c>
      <c r="O86" s="8">
        <f t="shared" si="10"/>
        <v>-14.879999999999995</v>
      </c>
    </row>
    <row r="87" spans="1:18">
      <c r="A87" s="31">
        <v>43995</v>
      </c>
      <c r="B87" s="26"/>
      <c r="C87" s="3"/>
      <c r="D87" s="3"/>
      <c r="E87" s="3"/>
      <c r="F87" s="3"/>
      <c r="G87" s="39" t="s">
        <v>108</v>
      </c>
      <c r="H87" s="26"/>
      <c r="I87">
        <v>3.72</v>
      </c>
      <c r="J87" s="9">
        <v>1</v>
      </c>
      <c r="M87">
        <f t="shared" si="11"/>
        <v>34</v>
      </c>
      <c r="N87" s="3">
        <f t="shared" si="12"/>
        <v>114.42460000000011</v>
      </c>
      <c r="O87" s="8">
        <f t="shared" si="10"/>
        <v>-3.7199999999999989</v>
      </c>
    </row>
    <row r="88" spans="1:18">
      <c r="A88" s="31">
        <v>44057</v>
      </c>
      <c r="B88" s="26"/>
      <c r="C88" s="3"/>
      <c r="D88" s="3"/>
      <c r="E88" s="3"/>
      <c r="F88" s="3"/>
      <c r="G88" s="39" t="s">
        <v>108</v>
      </c>
      <c r="H88" s="26"/>
      <c r="I88">
        <v>3.72</v>
      </c>
      <c r="J88" s="33"/>
      <c r="K88" s="9">
        <v>1</v>
      </c>
      <c r="M88">
        <f t="shared" si="11"/>
        <v>33</v>
      </c>
      <c r="N88" s="3">
        <f t="shared" si="12"/>
        <v>110.70460000000011</v>
      </c>
      <c r="O88" s="8">
        <f t="shared" si="10"/>
        <v>-3.7199999999999989</v>
      </c>
    </row>
    <row r="89" spans="1:18">
      <c r="A89" s="31">
        <v>44072</v>
      </c>
      <c r="B89" s="26"/>
      <c r="C89" s="3"/>
      <c r="D89" s="3"/>
      <c r="E89" s="3"/>
      <c r="F89" s="3"/>
      <c r="G89" s="25" t="s">
        <v>54</v>
      </c>
      <c r="H89" s="26"/>
      <c r="I89">
        <v>3.72</v>
      </c>
      <c r="J89" s="9">
        <v>1</v>
      </c>
      <c r="M89">
        <f t="shared" si="11"/>
        <v>32</v>
      </c>
      <c r="N89" s="3">
        <f t="shared" si="12"/>
        <v>106.98460000000011</v>
      </c>
      <c r="O89" s="8">
        <f t="shared" si="10"/>
        <v>-3.7199999999999989</v>
      </c>
    </row>
    <row r="90" spans="1:18">
      <c r="A90" s="31">
        <v>44147</v>
      </c>
      <c r="B90" s="26"/>
      <c r="C90" s="3"/>
      <c r="D90" s="3"/>
      <c r="E90" s="3"/>
      <c r="F90" s="3"/>
      <c r="G90" s="25" t="s">
        <v>64</v>
      </c>
      <c r="H90" s="26"/>
      <c r="I90">
        <v>3.72</v>
      </c>
      <c r="J90" s="9">
        <v>1</v>
      </c>
      <c r="L90">
        <v>-1</v>
      </c>
      <c r="M90">
        <f t="shared" si="11"/>
        <v>32</v>
      </c>
      <c r="N90" s="3">
        <f t="shared" si="12"/>
        <v>106.98460000000011</v>
      </c>
      <c r="O90" s="8">
        <f t="shared" si="10"/>
        <v>0</v>
      </c>
      <c r="P90" t="s">
        <v>65</v>
      </c>
      <c r="Q90" t="s">
        <v>62</v>
      </c>
      <c r="R90" s="3">
        <f>N111</f>
        <v>80.958933333333491</v>
      </c>
    </row>
    <row r="91" spans="1:18">
      <c r="A91" s="31">
        <v>44261</v>
      </c>
      <c r="B91" s="26"/>
      <c r="C91" s="3"/>
      <c r="D91" s="3"/>
      <c r="E91" s="3"/>
      <c r="F91" s="3"/>
      <c r="G91" s="25" t="s">
        <v>66</v>
      </c>
      <c r="H91" s="26"/>
      <c r="I91">
        <v>3.72</v>
      </c>
      <c r="J91" s="9">
        <v>12</v>
      </c>
      <c r="M91">
        <f t="shared" si="11"/>
        <v>20</v>
      </c>
      <c r="N91" s="3">
        <f t="shared" si="12"/>
        <v>62.344600000000113</v>
      </c>
      <c r="O91" s="8">
        <f t="shared" si="10"/>
        <v>-44.64</v>
      </c>
      <c r="R91" s="3"/>
    </row>
    <row r="92" spans="1:18">
      <c r="A92" s="31">
        <v>44263</v>
      </c>
      <c r="B92" s="26">
        <v>30</v>
      </c>
      <c r="C92" s="3">
        <v>3.07</v>
      </c>
      <c r="D92" s="3">
        <v>13.5</v>
      </c>
      <c r="E92" s="3">
        <v>7.05</v>
      </c>
      <c r="F92" s="3">
        <f>B92*C92+D92+E92+H92</f>
        <v>95.809999999999988</v>
      </c>
      <c r="G92" s="25" t="s">
        <v>67</v>
      </c>
      <c r="H92" s="26">
        <v>-16.84</v>
      </c>
      <c r="I92" s="3">
        <f>F92/B92</f>
        <v>3.1936666666666662</v>
      </c>
      <c r="J92" s="9"/>
      <c r="M92">
        <f>M91+B92</f>
        <v>50</v>
      </c>
      <c r="N92" s="3">
        <f>N91+F92</f>
        <v>158.1546000000001</v>
      </c>
      <c r="O92" s="8">
        <f t="shared" si="10"/>
        <v>95.809999999999988</v>
      </c>
      <c r="R92" s="3"/>
    </row>
    <row r="93" spans="1:18">
      <c r="A93" s="31">
        <v>44275</v>
      </c>
      <c r="B93" s="26"/>
      <c r="C93" s="3"/>
      <c r="D93" s="3"/>
      <c r="E93" s="3"/>
      <c r="F93" s="3"/>
      <c r="G93" s="25" t="s">
        <v>68</v>
      </c>
      <c r="H93" s="26"/>
      <c r="I93" s="3">
        <v>3.72</v>
      </c>
      <c r="J93" s="9">
        <v>12</v>
      </c>
      <c r="M93">
        <f t="shared" ref="M93:M99" si="13">M92-(J93+K93+L93)</f>
        <v>38</v>
      </c>
      <c r="N93" s="3">
        <f>N92-(J93+K93+L93)*$I$66</f>
        <v>113.5146000000001</v>
      </c>
      <c r="O93" s="8">
        <f t="shared" si="10"/>
        <v>-44.64</v>
      </c>
      <c r="R93" s="3"/>
    </row>
    <row r="94" spans="1:18">
      <c r="A94" s="31">
        <v>44310</v>
      </c>
      <c r="B94" s="26"/>
      <c r="C94" s="3"/>
      <c r="D94" s="3"/>
      <c r="E94" s="3"/>
      <c r="F94" s="3"/>
      <c r="G94" s="25" t="s">
        <v>69</v>
      </c>
      <c r="H94" s="26"/>
      <c r="I94" s="3">
        <v>3.72</v>
      </c>
      <c r="J94" s="9">
        <v>4</v>
      </c>
      <c r="M94">
        <f t="shared" si="13"/>
        <v>34</v>
      </c>
      <c r="N94" s="3">
        <f>N93-(J94+K94+L94)*$I$66</f>
        <v>98.634600000000106</v>
      </c>
      <c r="O94" s="8">
        <f t="shared" si="10"/>
        <v>-14.879999999999995</v>
      </c>
      <c r="R94" s="3"/>
    </row>
    <row r="95" spans="1:18">
      <c r="A95" s="31">
        <v>44316</v>
      </c>
      <c r="B95" s="26"/>
      <c r="C95" s="3"/>
      <c r="D95" s="3"/>
      <c r="E95" s="3"/>
      <c r="F95" s="3"/>
      <c r="G95" s="39" t="s">
        <v>108</v>
      </c>
      <c r="H95" s="26"/>
      <c r="I95" s="3">
        <v>3.72</v>
      </c>
      <c r="J95" s="9"/>
      <c r="K95">
        <v>1</v>
      </c>
      <c r="M95">
        <f t="shared" si="13"/>
        <v>33</v>
      </c>
      <c r="N95" s="3">
        <f>N94-(J95+K95+L95)*$I$66</f>
        <v>94.914600000000107</v>
      </c>
      <c r="O95" s="8">
        <f t="shared" si="10"/>
        <v>-3.7199999999999989</v>
      </c>
      <c r="R95" s="3"/>
    </row>
    <row r="96" spans="1:18">
      <c r="A96" s="31">
        <v>44330</v>
      </c>
      <c r="B96" s="26"/>
      <c r="C96" s="3"/>
      <c r="D96" s="3"/>
      <c r="E96" s="3"/>
      <c r="F96" s="3"/>
      <c r="G96" s="25" t="s">
        <v>70</v>
      </c>
      <c r="H96" s="26"/>
      <c r="I96" s="3">
        <v>3.72</v>
      </c>
      <c r="J96" s="9"/>
      <c r="L96">
        <v>-3</v>
      </c>
      <c r="M96">
        <f t="shared" si="13"/>
        <v>36</v>
      </c>
      <c r="N96" s="3">
        <f>N95-(J96+K96+L96)*$I96</f>
        <v>106.0746000000001</v>
      </c>
      <c r="O96" s="8">
        <f t="shared" si="10"/>
        <v>11.159999999999997</v>
      </c>
      <c r="R96" s="3"/>
    </row>
    <row r="97" spans="1:19">
      <c r="A97" s="31">
        <v>44352</v>
      </c>
      <c r="B97" s="26"/>
      <c r="C97" s="3"/>
      <c r="D97" s="3"/>
      <c r="E97" s="3"/>
      <c r="F97" s="3"/>
      <c r="G97" s="25" t="s">
        <v>71</v>
      </c>
      <c r="H97" s="26"/>
      <c r="I97" s="3">
        <v>3.72</v>
      </c>
      <c r="J97" s="9">
        <v>4</v>
      </c>
      <c r="M97">
        <f t="shared" si="13"/>
        <v>32</v>
      </c>
      <c r="N97" s="3">
        <f>N96-(J97+K97+L97)*$I$66</f>
        <v>91.194600000000108</v>
      </c>
      <c r="O97" s="8">
        <f t="shared" si="10"/>
        <v>-14.879999999999995</v>
      </c>
      <c r="R97" s="3"/>
    </row>
    <row r="98" spans="1:19">
      <c r="A98" s="31">
        <v>44358</v>
      </c>
      <c r="B98" s="26"/>
      <c r="C98" s="3"/>
      <c r="D98" s="3"/>
      <c r="E98" s="3"/>
      <c r="F98" s="3"/>
      <c r="G98" s="25" t="s">
        <v>56</v>
      </c>
      <c r="H98" s="26"/>
      <c r="I98" s="3">
        <v>3.72</v>
      </c>
      <c r="J98" s="9">
        <v>1</v>
      </c>
      <c r="M98">
        <f t="shared" si="13"/>
        <v>31</v>
      </c>
      <c r="N98" s="3">
        <f>N97-(J98+K98+L98)*$I$66</f>
        <v>87.474600000000109</v>
      </c>
      <c r="O98" s="8">
        <f t="shared" si="10"/>
        <v>-3.7199999999999989</v>
      </c>
      <c r="R98" s="3"/>
    </row>
    <row r="99" spans="1:19">
      <c r="A99" s="31">
        <v>44359</v>
      </c>
      <c r="B99" s="26"/>
      <c r="C99" s="3"/>
      <c r="D99" s="3"/>
      <c r="E99" s="3"/>
      <c r="F99" s="3"/>
      <c r="G99" s="25" t="s">
        <v>56</v>
      </c>
      <c r="H99" s="26"/>
      <c r="I99" s="3">
        <v>3.1936666666666662</v>
      </c>
      <c r="J99" s="9">
        <v>13</v>
      </c>
      <c r="M99">
        <f t="shared" si="13"/>
        <v>18</v>
      </c>
      <c r="N99" s="3">
        <f>N98-(J99+K99+L99-2)*$I$66-(2*I92)</f>
        <v>40.167266666666777</v>
      </c>
      <c r="O99" s="8">
        <f t="shared" si="10"/>
        <v>-47.307333333333332</v>
      </c>
      <c r="R99" s="3"/>
    </row>
    <row r="100" spans="1:19">
      <c r="A100" s="34">
        <v>44368</v>
      </c>
      <c r="B100" s="26">
        <v>20</v>
      </c>
      <c r="C100" s="3">
        <v>3.07</v>
      </c>
      <c r="D100" s="3">
        <v>11.5</v>
      </c>
      <c r="E100" s="3">
        <v>4.7</v>
      </c>
      <c r="F100" s="3">
        <f>B100*C100+D100+E100+H100</f>
        <v>77.600000000000009</v>
      </c>
      <c r="G100" s="25" t="s">
        <v>72</v>
      </c>
      <c r="H100" s="26"/>
      <c r="I100" s="3">
        <f>F100/B100</f>
        <v>3.8800000000000003</v>
      </c>
      <c r="J100" s="9"/>
      <c r="M100">
        <f>M99+B100</f>
        <v>38</v>
      </c>
      <c r="N100" s="3">
        <f>N99+F100</f>
        <v>117.76726666666679</v>
      </c>
      <c r="O100" s="8">
        <f t="shared" si="10"/>
        <v>77.600000000000009</v>
      </c>
      <c r="R100" s="3"/>
    </row>
    <row r="101" spans="1:19">
      <c r="A101" s="34">
        <v>44401</v>
      </c>
      <c r="B101" s="26"/>
      <c r="C101" s="3"/>
      <c r="D101" s="3"/>
      <c r="E101" s="3"/>
      <c r="F101" s="3"/>
      <c r="G101" s="25" t="s">
        <v>73</v>
      </c>
      <c r="H101" s="26"/>
      <c r="I101" s="3">
        <v>3.19</v>
      </c>
      <c r="J101" s="9">
        <v>1</v>
      </c>
      <c r="M101">
        <f t="shared" ref="M101:M106" si="14">M100-(J101+K101+L101)</f>
        <v>37</v>
      </c>
      <c r="N101" s="3">
        <f t="shared" ref="N101:N106" si="15">N100-(J101+K101+L101)*$I$101</f>
        <v>114.57726666666679</v>
      </c>
      <c r="O101" s="8">
        <f t="shared" si="10"/>
        <v>-3.1899999999999977</v>
      </c>
      <c r="R101" s="3"/>
    </row>
    <row r="102" spans="1:19">
      <c r="A102" s="34">
        <v>44471</v>
      </c>
      <c r="B102" s="26"/>
      <c r="C102" s="3"/>
      <c r="D102" s="3"/>
      <c r="E102" s="3"/>
      <c r="F102" s="3"/>
      <c r="G102" s="25" t="s">
        <v>51</v>
      </c>
      <c r="H102" s="26"/>
      <c r="I102" s="3">
        <v>3.19</v>
      </c>
      <c r="J102" s="9">
        <v>3</v>
      </c>
      <c r="M102">
        <f t="shared" si="14"/>
        <v>34</v>
      </c>
      <c r="N102" s="3">
        <f t="shared" si="15"/>
        <v>105.00726666666679</v>
      </c>
      <c r="O102" s="8">
        <f t="shared" si="10"/>
        <v>-9.5699999999999932</v>
      </c>
      <c r="R102" s="3"/>
    </row>
    <row r="103" spans="1:19">
      <c r="A103" s="7">
        <v>44509</v>
      </c>
      <c r="G103" s="25" t="s">
        <v>74</v>
      </c>
      <c r="H103" s="12"/>
      <c r="I103" s="3">
        <v>3.19</v>
      </c>
      <c r="J103" s="9">
        <v>2</v>
      </c>
      <c r="M103">
        <f t="shared" si="14"/>
        <v>32</v>
      </c>
      <c r="N103" s="3">
        <f t="shared" si="15"/>
        <v>98.627266666666799</v>
      </c>
      <c r="O103" s="8">
        <f t="shared" si="10"/>
        <v>-6.3799999999999955</v>
      </c>
    </row>
    <row r="104" spans="1:19">
      <c r="A104" s="7">
        <v>44513</v>
      </c>
      <c r="G104" s="25" t="s">
        <v>75</v>
      </c>
      <c r="H104" s="12"/>
      <c r="I104" s="3">
        <v>3.19</v>
      </c>
      <c r="J104" s="9">
        <v>1</v>
      </c>
      <c r="K104">
        <v>1</v>
      </c>
      <c r="L104">
        <v>1</v>
      </c>
      <c r="M104">
        <f t="shared" si="14"/>
        <v>29</v>
      </c>
      <c r="N104" s="3">
        <f t="shared" si="15"/>
        <v>89.057266666666806</v>
      </c>
      <c r="O104" s="8">
        <f t="shared" si="10"/>
        <v>-9.5699999999999932</v>
      </c>
    </row>
    <row r="105" spans="1:19">
      <c r="A105" s="7">
        <v>44526</v>
      </c>
      <c r="G105" s="25" t="s">
        <v>36</v>
      </c>
      <c r="H105" s="12"/>
      <c r="I105" s="3">
        <v>3.19</v>
      </c>
      <c r="J105" s="9">
        <v>2</v>
      </c>
      <c r="M105">
        <f t="shared" si="14"/>
        <v>27</v>
      </c>
      <c r="N105" s="3">
        <f t="shared" si="15"/>
        <v>82.67726666666681</v>
      </c>
      <c r="O105" s="8">
        <f t="shared" si="10"/>
        <v>-6.3799999999999955</v>
      </c>
    </row>
    <row r="106" spans="1:19">
      <c r="A106" s="7">
        <v>44548</v>
      </c>
      <c r="G106" s="25" t="s">
        <v>76</v>
      </c>
      <c r="H106" s="12"/>
      <c r="I106" s="3">
        <v>3.19</v>
      </c>
      <c r="J106" s="9">
        <v>3</v>
      </c>
      <c r="M106">
        <f t="shared" si="14"/>
        <v>24</v>
      </c>
      <c r="N106" s="3">
        <f t="shared" si="15"/>
        <v>73.107266666666817</v>
      </c>
      <c r="O106" s="8">
        <f t="shared" si="10"/>
        <v>-9.5699999999999932</v>
      </c>
    </row>
    <row r="107" spans="1:19">
      <c r="A107" s="7"/>
      <c r="G107" s="25"/>
      <c r="H107" s="12"/>
      <c r="I107" s="3"/>
      <c r="J107" s="9"/>
      <c r="L107" s="14">
        <f>SUM(L5:L105)</f>
        <v>4</v>
      </c>
      <c r="M107" s="12"/>
      <c r="N107" s="3">
        <f>(1)*$I$47+$I$4*(L107-2)+$I$104</f>
        <v>14.238999999999999</v>
      </c>
      <c r="O107" s="8" t="s">
        <v>77</v>
      </c>
    </row>
    <row r="108" spans="1:19">
      <c r="G108" s="12" t="s">
        <v>78</v>
      </c>
      <c r="J108" s="14">
        <f>SUM(J6:J107)</f>
        <v>209</v>
      </c>
      <c r="K108" s="14">
        <f>SUM(K6:K107)</f>
        <v>45</v>
      </c>
      <c r="L108" s="12"/>
      <c r="M108" s="12">
        <f>SUM(J108:K108)</f>
        <v>254</v>
      </c>
      <c r="N108" s="3">
        <f>($I$42-$I$4)*SUM(J42:K76)+M108*$I$4</f>
        <v>929.33039999999994</v>
      </c>
      <c r="O108" t="s">
        <v>79</v>
      </c>
    </row>
    <row r="109" spans="1:19" ht="105">
      <c r="L109" s="12"/>
      <c r="M109" s="12">
        <f>M106+M108+L107</f>
        <v>282</v>
      </c>
      <c r="N109" s="3">
        <f>SUM(N106:N108)</f>
        <v>1016.6766666666667</v>
      </c>
      <c r="O109" s="35" t="s">
        <v>80</v>
      </c>
      <c r="Q109" s="4" t="s">
        <v>38</v>
      </c>
      <c r="R109" s="4" t="s">
        <v>39</v>
      </c>
      <c r="S109" s="4" t="s">
        <v>40</v>
      </c>
    </row>
    <row r="110" spans="1:19">
      <c r="F110" s="3">
        <f>'[1]MUM Book order costs'!F74</f>
        <v>218.4</v>
      </c>
      <c r="G110" t="s">
        <v>81</v>
      </c>
      <c r="M110">
        <f>M109-B1</f>
        <v>0</v>
      </c>
      <c r="N110" s="3">
        <f>(N109-F1)</f>
        <v>4.7266666666668016</v>
      </c>
      <c r="O110" s="8" t="s">
        <v>82</v>
      </c>
      <c r="Q110">
        <v>22</v>
      </c>
      <c r="R110" s="15">
        <f>(M111)-Q110</f>
        <v>2</v>
      </c>
      <c r="S110" s="3">
        <f>R110*$I$92</f>
        <v>6.3873333333333324</v>
      </c>
    </row>
    <row r="111" spans="1:19">
      <c r="F111" s="3">
        <f>SUM(F6:F26)</f>
        <v>193.49</v>
      </c>
      <c r="G111" t="s">
        <v>83</v>
      </c>
      <c r="M111">
        <f>M106</f>
        <v>24</v>
      </c>
      <c r="N111" s="3">
        <f>N107+N106-S110</f>
        <v>80.958933333333491</v>
      </c>
      <c r="O111" t="s">
        <v>84</v>
      </c>
      <c r="Q111" t="s">
        <v>85</v>
      </c>
    </row>
    <row r="112" spans="1:19">
      <c r="A112">
        <v>2017</v>
      </c>
      <c r="F112" s="29">
        <f>SUM(F17:F26)+F110</f>
        <v>411.89</v>
      </c>
      <c r="G112" s="28" t="s">
        <v>86</v>
      </c>
    </row>
    <row r="113" spans="1:12">
      <c r="A113">
        <v>2018</v>
      </c>
      <c r="F113">
        <f>'[1]MUM Book order costs'!$F$33</f>
        <v>194.06</v>
      </c>
      <c r="G113" t="s">
        <v>81</v>
      </c>
    </row>
    <row r="114" spans="1:12">
      <c r="A114">
        <v>2018</v>
      </c>
      <c r="F114">
        <v>0</v>
      </c>
      <c r="G114" t="s">
        <v>83</v>
      </c>
    </row>
    <row r="115" spans="1:12">
      <c r="A115">
        <v>2018</v>
      </c>
      <c r="F115">
        <f>'[1]PP Book order costs'!$F$55</f>
        <v>0</v>
      </c>
      <c r="G115" t="s">
        <v>87</v>
      </c>
    </row>
    <row r="116" spans="1:12">
      <c r="A116">
        <v>2018</v>
      </c>
      <c r="F116" s="28">
        <f>F113+F115</f>
        <v>194.06</v>
      </c>
      <c r="G116" s="28" t="s">
        <v>88</v>
      </c>
      <c r="L116" s="4" t="s">
        <v>89</v>
      </c>
    </row>
    <row r="117" spans="1:12">
      <c r="A117">
        <v>2019</v>
      </c>
      <c r="B117">
        <f>B66+B82</f>
        <v>80</v>
      </c>
      <c r="C117">
        <v>3.07</v>
      </c>
      <c r="E117" s="3">
        <f>E66+E82</f>
        <v>15.2</v>
      </c>
      <c r="F117" s="3">
        <f>F66+F82</f>
        <v>272.44</v>
      </c>
      <c r="G117" t="s">
        <v>83</v>
      </c>
      <c r="K117" t="s">
        <v>90</v>
      </c>
      <c r="L117" s="3">
        <v>188.49</v>
      </c>
    </row>
    <row r="118" spans="1:12">
      <c r="B118">
        <v>30</v>
      </c>
      <c r="C118" s="3">
        <v>5.38</v>
      </c>
      <c r="E118" s="3">
        <v>7.62</v>
      </c>
      <c r="F118" s="3">
        <f>B118*C118</f>
        <v>161.4</v>
      </c>
      <c r="G118" t="s">
        <v>87</v>
      </c>
      <c r="K118" t="s">
        <v>91</v>
      </c>
      <c r="L118" s="3">
        <v>166.86412499999994</v>
      </c>
    </row>
    <row r="119" spans="1:12">
      <c r="B119">
        <v>60</v>
      </c>
      <c r="C119" s="3">
        <v>2.74</v>
      </c>
      <c r="D119" s="3">
        <v>13.5</v>
      </c>
      <c r="E119" s="3">
        <v>8.8800000000000008</v>
      </c>
      <c r="F119" s="3">
        <f>B119*C119</f>
        <v>164.4</v>
      </c>
      <c r="G119" t="s">
        <v>92</v>
      </c>
      <c r="K119" t="s">
        <v>93</v>
      </c>
      <c r="L119" s="3">
        <v>118.38320000000007</v>
      </c>
    </row>
    <row r="120" spans="1:12">
      <c r="B120">
        <v>50</v>
      </c>
      <c r="C120" s="3">
        <v>2.74</v>
      </c>
      <c r="D120" s="3">
        <v>23</v>
      </c>
      <c r="E120" s="3">
        <v>6.5</v>
      </c>
      <c r="F120" s="3">
        <f>B120*C120</f>
        <v>137</v>
      </c>
      <c r="G120" t="s">
        <v>92</v>
      </c>
      <c r="H120" s="36">
        <f>E123/F123</f>
        <v>5.2010611561016475E-2</v>
      </c>
      <c r="I120">
        <f>F123*0.0625</f>
        <v>53.715000000000003</v>
      </c>
      <c r="J120">
        <f>I120+46.64</f>
        <v>100.355</v>
      </c>
      <c r="K120" t="s">
        <v>94</v>
      </c>
      <c r="L120" s="3">
        <v>253.26327272727275</v>
      </c>
    </row>
    <row r="121" spans="1:12">
      <c r="B121">
        <v>30</v>
      </c>
      <c r="C121" s="3">
        <v>4.1399999999999997</v>
      </c>
      <c r="E121" s="3">
        <v>6.5</v>
      </c>
      <c r="F121" s="3">
        <f>B121*C121</f>
        <v>124.19999999999999</v>
      </c>
      <c r="G121" t="s">
        <v>95</v>
      </c>
      <c r="K121" t="s">
        <v>96</v>
      </c>
      <c r="L121">
        <v>95.22</v>
      </c>
    </row>
    <row r="122" spans="1:12">
      <c r="K122" t="s">
        <v>97</v>
      </c>
    </row>
    <row r="123" spans="1:12">
      <c r="E123" s="3">
        <f>SUM(E117:E122)</f>
        <v>44.7</v>
      </c>
      <c r="F123" s="29">
        <f>SUM(F117:F122)</f>
        <v>859.44</v>
      </c>
      <c r="G123" s="28" t="s">
        <v>98</v>
      </c>
      <c r="K123" t="s">
        <v>99</v>
      </c>
      <c r="L123" s="3">
        <f>SUM(L117:L121)</f>
        <v>822.22059772727289</v>
      </c>
    </row>
    <row r="124" spans="1:12">
      <c r="A124">
        <v>2020</v>
      </c>
      <c r="B124">
        <v>50</v>
      </c>
      <c r="C124" s="3">
        <v>2.13</v>
      </c>
      <c r="D124" s="3">
        <v>23</v>
      </c>
      <c r="E124" s="3">
        <v>7</v>
      </c>
      <c r="F124" s="3">
        <f>B124*C124+D124+E124</f>
        <v>136.5</v>
      </c>
      <c r="G124" t="s">
        <v>100</v>
      </c>
      <c r="L124" s="4" t="s">
        <v>101</v>
      </c>
    </row>
    <row r="125" spans="1:12">
      <c r="E125" t="s">
        <v>90</v>
      </c>
      <c r="F125" s="3">
        <v>125.35000000000011</v>
      </c>
    </row>
    <row r="126" spans="1:12">
      <c r="E126" t="s">
        <v>91</v>
      </c>
      <c r="F126" s="29">
        <v>148.92412499999995</v>
      </c>
    </row>
    <row r="127" spans="1:12">
      <c r="E127" t="s">
        <v>93</v>
      </c>
      <c r="F127" s="29">
        <v>99.96</v>
      </c>
    </row>
    <row r="128" spans="1:12">
      <c r="E128" t="s">
        <v>94</v>
      </c>
      <c r="F128" s="29">
        <v>91.089454545454586</v>
      </c>
    </row>
    <row r="129" spans="1:8">
      <c r="E129" t="s">
        <v>96</v>
      </c>
      <c r="F129" s="29">
        <v>82.799999999999983</v>
      </c>
    </row>
    <row r="130" spans="1:8">
      <c r="E130" t="s">
        <v>97</v>
      </c>
      <c r="F130" s="29">
        <v>117.39</v>
      </c>
    </row>
    <row r="131" spans="1:8">
      <c r="E131" t="s">
        <v>99</v>
      </c>
      <c r="F131" s="3">
        <f>SUM(F125:F130)</f>
        <v>665.5135795454546</v>
      </c>
      <c r="H131" t="s">
        <v>102</v>
      </c>
    </row>
    <row r="132" spans="1:8">
      <c r="A132">
        <v>2021</v>
      </c>
      <c r="E132" t="s">
        <v>90</v>
      </c>
      <c r="F132" s="3">
        <v>173.41</v>
      </c>
      <c r="G132" t="s">
        <v>83</v>
      </c>
      <c r="H132" s="3">
        <v>80.958933333333491</v>
      </c>
    </row>
    <row r="133" spans="1:8">
      <c r="E133" t="s">
        <v>103</v>
      </c>
      <c r="F133" s="3">
        <v>157.53</v>
      </c>
      <c r="G133" t="s">
        <v>104</v>
      </c>
      <c r="H133" s="8">
        <v>89.863999999999933</v>
      </c>
    </row>
    <row r="134" spans="1:8">
      <c r="E134" t="s">
        <v>93</v>
      </c>
      <c r="F134" s="3">
        <v>82.75</v>
      </c>
      <c r="G134" t="s">
        <v>81</v>
      </c>
      <c r="H134" s="8">
        <v>91.501600000000025</v>
      </c>
    </row>
    <row r="135" spans="1:8">
      <c r="E135" t="s">
        <v>91</v>
      </c>
      <c r="F135" s="3">
        <v>56.849999999999994</v>
      </c>
      <c r="G135" t="s">
        <v>87</v>
      </c>
      <c r="H135" s="8">
        <v>125.89444444444446</v>
      </c>
    </row>
    <row r="136" spans="1:8">
      <c r="E136" t="s">
        <v>96</v>
      </c>
      <c r="F136" s="3">
        <v>85.6</v>
      </c>
      <c r="G136" t="s">
        <v>95</v>
      </c>
      <c r="H136" s="8">
        <v>102.15999999999997</v>
      </c>
    </row>
    <row r="137" spans="1:8">
      <c r="E137" t="s">
        <v>94</v>
      </c>
      <c r="F137" s="3">
        <v>166.18</v>
      </c>
      <c r="G137" t="s">
        <v>92</v>
      </c>
      <c r="H137" s="8">
        <v>117.98952941176478</v>
      </c>
    </row>
    <row r="138" spans="1:8">
      <c r="E138" t="s">
        <v>97</v>
      </c>
      <c r="F138" s="3">
        <v>115.53</v>
      </c>
      <c r="G138" t="s">
        <v>100</v>
      </c>
      <c r="H138" s="8">
        <v>126.16866666666664</v>
      </c>
    </row>
    <row r="139" spans="1:8" ht="45">
      <c r="E139" t="s">
        <v>99</v>
      </c>
      <c r="F139" s="3">
        <f>SUM(F132:F138)</f>
        <v>837.84999999999991</v>
      </c>
      <c r="G139" s="37" t="s">
        <v>105</v>
      </c>
      <c r="H139" s="3">
        <f>SUM(H132:H138)</f>
        <v>734.53717385620917</v>
      </c>
    </row>
    <row r="140" spans="1:8">
      <c r="E140" t="s">
        <v>106</v>
      </c>
      <c r="F140" s="3">
        <v>33.14</v>
      </c>
    </row>
    <row r="141" spans="1:8">
      <c r="E141" t="s">
        <v>107</v>
      </c>
      <c r="F141" s="38">
        <f>F139-F140</f>
        <v>804.70999999999992</v>
      </c>
    </row>
    <row r="142" spans="1:8">
      <c r="F142" s="3"/>
    </row>
    <row r="143" spans="1:8">
      <c r="F143" s="3"/>
    </row>
    <row r="144" spans="1:8">
      <c r="F144" s="3"/>
    </row>
    <row r="145" spans="6:6">
      <c r="F145" s="3"/>
    </row>
    <row r="146" spans="6:6">
      <c r="F146" s="3"/>
    </row>
  </sheetData>
  <autoFilter ref="A2:O131"/>
  <pageMargins left="0.7" right="0.7" top="0.75" bottom="0.75" header="0.3" footer="0.3"/>
  <pageSetup orientation="portrait" horizontalDpi="4294967293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Inventory template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Jeffry Smith</dc:creator>
  <cp:lastModifiedBy>Jeffry Smith</cp:lastModifiedBy>
  <dcterms:created xsi:type="dcterms:W3CDTF">2022-02-22T23:16:06Z</dcterms:created>
  <dcterms:modified xsi:type="dcterms:W3CDTF">2022-02-24T23:42:34Z</dcterms:modified>
</cp:coreProperties>
</file>